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202300"/>
  <mc:AlternateContent xmlns:mc="http://schemas.openxmlformats.org/markup-compatibility/2006">
    <mc:Choice Requires="x15">
      <x15ac:absPath xmlns:x15ac="http://schemas.microsoft.com/office/spreadsheetml/2010/11/ac" url="C:\Users\Adam Curran\OneDrive - The Eastern PA Conference - UMC\Documents\UMC Docs\Excel\Church Conference Forms\Compensation Form\Report\2026 Form\"/>
    </mc:Choice>
  </mc:AlternateContent>
  <xr:revisionPtr revIDLastSave="0" documentId="13_ncr:1_{210B82A9-717D-4ADD-9E72-1B04526FBE37}" xr6:coauthVersionLast="47" xr6:coauthVersionMax="47" xr10:uidLastSave="{00000000-0000-0000-0000-000000000000}"/>
  <bookViews>
    <workbookView xWindow="-28920" yWindow="-120" windowWidth="29040" windowHeight="15720" firstSheet="1" activeTab="1" xr2:uid="{6F9F7F9E-A8E2-4BF1-8071-BF18F6AED62A}"/>
  </bookViews>
  <sheets>
    <sheet name="table" sheetId="3" state="hidden" r:id="rId1"/>
    <sheet name="Comp Form" sheetId="1" r:id="rId2"/>
    <sheet name="Minimum Salary" sheetId="4" r:id="rId3"/>
    <sheet name="Staff Info" sheetId="2" state="hidden" r:id="rId4"/>
  </sheets>
  <definedNames>
    <definedName name="_xlnm.Print_Area" localSheetId="2">'Minimum Salary'!$A$1:$H$22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4" i="1" l="1"/>
  <c r="M54" i="1"/>
  <c r="L54" i="1"/>
  <c r="K54" i="1"/>
  <c r="A89" i="1" l="1"/>
  <c r="A93" i="1"/>
  <c r="A92" i="1"/>
  <c r="A91" i="1"/>
  <c r="A90" i="1"/>
  <c r="A88" i="1"/>
  <c r="A87" i="1"/>
  <c r="A86" i="1"/>
  <c r="A85" i="1"/>
  <c r="A84" i="1"/>
  <c r="C119" i="1"/>
  <c r="C118" i="1"/>
  <c r="C117" i="1"/>
  <c r="C116" i="1"/>
  <c r="C115" i="1"/>
  <c r="C140" i="1"/>
  <c r="C139" i="1"/>
  <c r="C138" i="1"/>
  <c r="C137" i="1"/>
  <c r="C136" i="1"/>
  <c r="C133" i="1"/>
  <c r="C132" i="1"/>
  <c r="C131" i="1"/>
  <c r="C130" i="1"/>
  <c r="C129" i="1"/>
  <c r="J18" i="1" l="1"/>
  <c r="I167" i="1" l="1"/>
  <c r="I165" i="1"/>
  <c r="I163" i="1"/>
  <c r="I161" i="1"/>
  <c r="I159" i="1"/>
  <c r="A167" i="1"/>
  <c r="A165" i="1"/>
  <c r="A163" i="1"/>
  <c r="A161" i="1"/>
  <c r="A159" i="1"/>
  <c r="P69" i="1"/>
  <c r="P68" i="1"/>
  <c r="P67" i="1"/>
  <c r="N70" i="1"/>
  <c r="M70" i="1"/>
  <c r="L70" i="1"/>
  <c r="K70" i="1"/>
  <c r="J70" i="1"/>
  <c r="P70" i="1" l="1"/>
  <c r="P22" i="1" l="1"/>
  <c r="P23" i="1"/>
  <c r="P13" i="1"/>
  <c r="P14" i="1"/>
  <c r="P15" i="1"/>
  <c r="N63" i="1" l="1"/>
  <c r="N37" i="1"/>
  <c r="N11" i="1"/>
  <c r="M11" i="1"/>
  <c r="M37" i="1"/>
  <c r="M63" i="1"/>
  <c r="L63" i="1"/>
  <c r="L37" i="1"/>
  <c r="L11" i="1"/>
  <c r="K11" i="1"/>
  <c r="K37" i="1"/>
  <c r="K63" i="1"/>
  <c r="J63" i="1"/>
  <c r="J37" i="1"/>
  <c r="J11" i="1"/>
  <c r="D5" i="4"/>
  <c r="D6" i="4" s="1"/>
  <c r="D7" i="4" s="1"/>
  <c r="D8" i="4" s="1"/>
  <c r="D9" i="4" s="1"/>
  <c r="D10" i="4" s="1"/>
  <c r="D11" i="4" s="1"/>
  <c r="D12" i="4" s="1"/>
  <c r="D13" i="4" s="1"/>
  <c r="D14" i="4" s="1"/>
  <c r="D15" i="4" s="1"/>
  <c r="D16" i="4" s="1"/>
  <c r="D17" i="4" s="1"/>
  <c r="D18" i="4" s="1"/>
  <c r="D19" i="4" s="1"/>
  <c r="C5" i="4"/>
  <c r="C6" i="4" s="1"/>
  <c r="C7" i="4" s="1"/>
  <c r="C8" i="4" s="1"/>
  <c r="C9" i="4" s="1"/>
  <c r="C10" i="4" s="1"/>
  <c r="C11" i="4" s="1"/>
  <c r="C12" i="4" s="1"/>
  <c r="C13" i="4" s="1"/>
  <c r="C14" i="4" s="1"/>
  <c r="C15" i="4" s="1"/>
  <c r="C16" i="4" s="1"/>
  <c r="C17" i="4" s="1"/>
  <c r="C18" i="4" s="1"/>
  <c r="C19" i="4" s="1"/>
  <c r="B5" i="4"/>
  <c r="B6" i="4" s="1"/>
  <c r="B7" i="4" s="1"/>
  <c r="B8" i="4" s="1"/>
  <c r="B9" i="4" s="1"/>
  <c r="B10" i="4" s="1"/>
  <c r="B11" i="4" s="1"/>
  <c r="B12" i="4" s="1"/>
  <c r="B13" i="4" s="1"/>
  <c r="B14" i="4" s="1"/>
  <c r="B15" i="4" s="1"/>
  <c r="B16" i="4" s="1"/>
  <c r="B17" i="4" s="1"/>
  <c r="B18" i="4" s="1"/>
  <c r="B19" i="4" s="1"/>
  <c r="G4" i="4"/>
  <c r="G5" i="4" s="1"/>
  <c r="G6" i="4" s="1"/>
  <c r="G7" i="4" s="1"/>
  <c r="G8" i="4" s="1"/>
  <c r="G9" i="4" s="1"/>
  <c r="G10" i="4" s="1"/>
  <c r="G11" i="4" s="1"/>
  <c r="G12" i="4" s="1"/>
  <c r="G13" i="4" s="1"/>
  <c r="G14" i="4" s="1"/>
  <c r="G15" i="4" s="1"/>
  <c r="G16" i="4" s="1"/>
  <c r="G17" i="4" s="1"/>
  <c r="G18" i="4" s="1"/>
  <c r="G19" i="4" s="1"/>
  <c r="F4" i="4"/>
  <c r="F5" i="4" s="1"/>
  <c r="F6" i="4" s="1"/>
  <c r="F7" i="4" s="1"/>
  <c r="F8" i="4" s="1"/>
  <c r="F9" i="4" s="1"/>
  <c r="F10" i="4" s="1"/>
  <c r="F11" i="4" s="1"/>
  <c r="F12" i="4" s="1"/>
  <c r="F13" i="4" s="1"/>
  <c r="F14" i="4" s="1"/>
  <c r="F15" i="4" s="1"/>
  <c r="F16" i="4" s="1"/>
  <c r="F17" i="4" s="1"/>
  <c r="F18" i="4" s="1"/>
  <c r="F19" i="4" s="1"/>
  <c r="E4" i="4"/>
  <c r="E5" i="4" s="1"/>
  <c r="E6" i="4" s="1"/>
  <c r="E7" i="4" s="1"/>
  <c r="E8" i="4" s="1"/>
  <c r="E9" i="4" s="1"/>
  <c r="E10" i="4" s="1"/>
  <c r="E11" i="4" s="1"/>
  <c r="E12" i="4" s="1"/>
  <c r="E13" i="4" s="1"/>
  <c r="E14" i="4" s="1"/>
  <c r="E15" i="4" s="1"/>
  <c r="E16" i="4" s="1"/>
  <c r="E17" i="4" s="1"/>
  <c r="E18" i="4" s="1"/>
  <c r="E19" i="4" s="1"/>
  <c r="L2" i="3"/>
  <c r="G6" i="3"/>
  <c r="G5" i="3"/>
  <c r="G4" i="3"/>
  <c r="G3" i="3"/>
  <c r="G2" i="3"/>
  <c r="F6" i="3"/>
  <c r="F5" i="3"/>
  <c r="F4" i="3"/>
  <c r="F3" i="3"/>
  <c r="F2" i="3"/>
  <c r="E6" i="3"/>
  <c r="E5" i="3"/>
  <c r="E4" i="3"/>
  <c r="E3" i="3"/>
  <c r="E2" i="3"/>
  <c r="D6" i="3"/>
  <c r="D5" i="3"/>
  <c r="D4" i="3"/>
  <c r="D3" i="3"/>
  <c r="D2" i="3"/>
  <c r="C6" i="3"/>
  <c r="C5" i="3"/>
  <c r="C4" i="3"/>
  <c r="C3" i="3"/>
  <c r="C2" i="3"/>
  <c r="A6" i="3"/>
  <c r="A5" i="3"/>
  <c r="A4" i="3"/>
  <c r="A3" i="3"/>
  <c r="A2" i="3"/>
  <c r="O8" i="1"/>
  <c r="M8" i="1"/>
  <c r="J8" i="1"/>
  <c r="F8" i="1"/>
  <c r="C8" i="1"/>
  <c r="P60" i="1"/>
  <c r="P61" i="1"/>
  <c r="P59" i="1"/>
  <c r="P56" i="1"/>
  <c r="P49" i="1"/>
  <c r="P28" i="1"/>
  <c r="P27" i="1"/>
  <c r="AO6" i="3"/>
  <c r="AO5" i="3"/>
  <c r="AO4" i="3"/>
  <c r="AN6" i="3"/>
  <c r="AN5" i="3"/>
  <c r="AN4" i="3"/>
  <c r="AM6" i="3"/>
  <c r="AM5" i="3"/>
  <c r="AM4" i="3"/>
  <c r="AD6" i="3"/>
  <c r="AD5" i="3"/>
  <c r="AD4" i="3"/>
  <c r="S6" i="3"/>
  <c r="S5" i="3"/>
  <c r="S4" i="3"/>
  <c r="R6" i="3"/>
  <c r="R5" i="3"/>
  <c r="R4" i="3"/>
  <c r="P6" i="3"/>
  <c r="P5" i="3"/>
  <c r="P4" i="3"/>
  <c r="O6" i="3"/>
  <c r="O5" i="3"/>
  <c r="O4" i="3"/>
  <c r="N6" i="3"/>
  <c r="N5" i="3"/>
  <c r="N4" i="3"/>
  <c r="L6" i="3"/>
  <c r="L5" i="3"/>
  <c r="L4" i="3"/>
  <c r="K6" i="3"/>
  <c r="K5" i="3"/>
  <c r="J6" i="3"/>
  <c r="M62" i="1"/>
  <c r="N62" i="1"/>
  <c r="P21" i="1"/>
  <c r="P24" i="1"/>
  <c r="P20" i="1"/>
  <c r="P16" i="1"/>
  <c r="P17" i="1"/>
  <c r="P12" i="1"/>
  <c r="O40" i="1" s="1" a="1"/>
  <c r="O40" i="1" s="1"/>
  <c r="M25" i="1"/>
  <c r="N25" i="1"/>
  <c r="N18" i="1"/>
  <c r="J5" i="3"/>
  <c r="M18" i="1"/>
  <c r="K4" i="3"/>
  <c r="J4" i="3"/>
  <c r="S3" i="3"/>
  <c r="R3" i="3"/>
  <c r="P3" i="3"/>
  <c r="O3" i="3"/>
  <c r="N3" i="3"/>
  <c r="L3" i="3"/>
  <c r="K3" i="3"/>
  <c r="J3" i="3"/>
  <c r="S2" i="3"/>
  <c r="R2" i="3"/>
  <c r="P2" i="3"/>
  <c r="O2" i="3"/>
  <c r="N2" i="3"/>
  <c r="K2" i="3"/>
  <c r="J2" i="3"/>
  <c r="AO3" i="3"/>
  <c r="AN3" i="3"/>
  <c r="AM3" i="3"/>
  <c r="AD3" i="3"/>
  <c r="AO2" i="3"/>
  <c r="AN2" i="3"/>
  <c r="AM2" i="3"/>
  <c r="AD2" i="3"/>
  <c r="J62" i="1"/>
  <c r="L62" i="1"/>
  <c r="K62" i="1"/>
  <c r="L25" i="1"/>
  <c r="K25" i="1"/>
  <c r="J25" i="1"/>
  <c r="J29" i="1" s="1"/>
  <c r="L18" i="1"/>
  <c r="K18" i="1"/>
  <c r="AK6" i="3" l="1"/>
  <c r="AK5" i="3"/>
  <c r="AT6" i="3"/>
  <c r="AT4" i="3"/>
  <c r="AS6" i="3"/>
  <c r="AS4" i="3"/>
  <c r="AU4" i="3"/>
  <c r="AR6" i="3"/>
  <c r="AR4" i="3"/>
  <c r="AS5" i="3"/>
  <c r="AK4" i="3"/>
  <c r="AU5" i="3"/>
  <c r="AT5" i="3"/>
  <c r="AR5" i="3"/>
  <c r="AU6" i="3"/>
  <c r="AT2" i="3"/>
  <c r="AS2" i="3"/>
  <c r="AR2" i="3"/>
  <c r="AK2" i="3"/>
  <c r="AU2" i="3"/>
  <c r="AT3" i="3"/>
  <c r="AU3" i="3"/>
  <c r="AS3" i="3"/>
  <c r="AR3" i="3"/>
  <c r="AK3" i="3"/>
  <c r="AI5" i="3"/>
  <c r="AI6" i="3"/>
  <c r="AI3" i="3"/>
  <c r="AI4" i="3"/>
  <c r="O41" i="1"/>
  <c r="I115" i="1" s="1"/>
  <c r="Z5" i="3"/>
  <c r="I5" i="3"/>
  <c r="Z6" i="3"/>
  <c r="I6" i="3"/>
  <c r="AB4" i="3"/>
  <c r="I4" i="3"/>
  <c r="Z2" i="3"/>
  <c r="I2" i="3"/>
  <c r="Z3" i="3"/>
  <c r="I3" i="3"/>
  <c r="H2" i="3"/>
  <c r="B4" i="3"/>
  <c r="B6" i="3"/>
  <c r="B5" i="3"/>
  <c r="B2" i="3"/>
  <c r="B3" i="3"/>
  <c r="AA6" i="3"/>
  <c r="AB6" i="3"/>
  <c r="W4" i="3"/>
  <c r="W2" i="3"/>
  <c r="W6" i="3"/>
  <c r="Y6" i="3"/>
  <c r="H6" i="3"/>
  <c r="AC6" i="3"/>
  <c r="H5" i="3"/>
  <c r="AA5" i="3"/>
  <c r="W5" i="3"/>
  <c r="AB5" i="3"/>
  <c r="AC5" i="3"/>
  <c r="Y5" i="3"/>
  <c r="Y4" i="3"/>
  <c r="H4" i="3"/>
  <c r="AC4" i="3"/>
  <c r="Z4" i="3"/>
  <c r="AA4" i="3"/>
  <c r="AB3" i="3"/>
  <c r="AA3" i="3"/>
  <c r="Y3" i="3"/>
  <c r="AA2" i="3"/>
  <c r="AC3" i="3"/>
  <c r="W3" i="3"/>
  <c r="AB2" i="3"/>
  <c r="Y2" i="3"/>
  <c r="AC2" i="3"/>
  <c r="H3" i="3"/>
  <c r="M29" i="1"/>
  <c r="K30" i="1"/>
  <c r="K31" i="1" s="1"/>
  <c r="AP5" i="3"/>
  <c r="N30" i="1"/>
  <c r="N31" i="1" s="1"/>
  <c r="Q5" i="3"/>
  <c r="Q6" i="3"/>
  <c r="M30" i="1"/>
  <c r="M31" i="1" s="1"/>
  <c r="M6" i="3"/>
  <c r="M5" i="3"/>
  <c r="AP4" i="3"/>
  <c r="P25" i="1"/>
  <c r="AP6" i="3"/>
  <c r="P62" i="1"/>
  <c r="N29" i="1"/>
  <c r="P18" i="1"/>
  <c r="L29" i="1"/>
  <c r="L30" i="1"/>
  <c r="L31" i="1" s="1"/>
  <c r="J30" i="1"/>
  <c r="K29" i="1"/>
  <c r="AP2" i="3"/>
  <c r="AP3" i="3"/>
  <c r="Q2" i="3"/>
  <c r="M2" i="3"/>
  <c r="Q3" i="3"/>
  <c r="M4" i="3"/>
  <c r="M3" i="3"/>
  <c r="Q4" i="3"/>
  <c r="J41" i="1" l="1"/>
  <c r="N41" i="1"/>
  <c r="N50" i="1" s="1"/>
  <c r="L41" i="1"/>
  <c r="L50" i="1" s="1"/>
  <c r="K41" i="1"/>
  <c r="K50" i="1" s="1"/>
  <c r="M41" i="1"/>
  <c r="M50" i="1" s="1"/>
  <c r="I119" i="1"/>
  <c r="I116" i="1"/>
  <c r="I138" i="1"/>
  <c r="I130" i="1"/>
  <c r="I117" i="1"/>
  <c r="I139" i="1"/>
  <c r="I118" i="1"/>
  <c r="I140" i="1"/>
  <c r="I131" i="1"/>
  <c r="I129" i="1"/>
  <c r="I133" i="1"/>
  <c r="I136" i="1"/>
  <c r="I132" i="1"/>
  <c r="I137" i="1"/>
  <c r="U6" i="3"/>
  <c r="V6" i="3" s="1"/>
  <c r="X6" i="3" s="1"/>
  <c r="U5" i="3"/>
  <c r="V5" i="3" s="1"/>
  <c r="X5" i="3" s="1"/>
  <c r="T2" i="3"/>
  <c r="T6" i="3"/>
  <c r="T5" i="3"/>
  <c r="P29" i="1"/>
  <c r="J31" i="1"/>
  <c r="P30" i="1"/>
  <c r="T4" i="3"/>
  <c r="U4" i="3"/>
  <c r="V4" i="3" s="1"/>
  <c r="X4" i="3" s="1"/>
  <c r="U3" i="3"/>
  <c r="V3" i="3" s="1"/>
  <c r="X3" i="3" s="1"/>
  <c r="U2" i="3"/>
  <c r="V2" i="3" s="1"/>
  <c r="X2" i="3" s="1"/>
  <c r="T3" i="3"/>
  <c r="N52" i="1" l="1"/>
  <c r="N51" i="1"/>
  <c r="M52" i="1"/>
  <c r="M51" i="1"/>
  <c r="K51" i="1"/>
  <c r="K52" i="1"/>
  <c r="AG3" i="3" s="1"/>
  <c r="L52" i="1"/>
  <c r="AG4" i="3" s="1"/>
  <c r="L51" i="1"/>
  <c r="J50" i="1"/>
  <c r="AG6" i="3"/>
  <c r="N53" i="1"/>
  <c r="AH6" i="3" s="1"/>
  <c r="N55" i="1"/>
  <c r="AJ6" i="3" s="1"/>
  <c r="M53" i="1"/>
  <c r="AH5" i="3" s="1"/>
  <c r="AG5" i="3"/>
  <c r="M55" i="1"/>
  <c r="AJ5" i="3" s="1"/>
  <c r="K53" i="1"/>
  <c r="AH3" i="3" s="1"/>
  <c r="K55" i="1"/>
  <c r="AJ3" i="3" s="1"/>
  <c r="L53" i="1"/>
  <c r="AH4" i="3" s="1"/>
  <c r="L55" i="1"/>
  <c r="AJ4" i="3" s="1"/>
  <c r="O38" i="1"/>
  <c r="P31" i="1"/>
  <c r="J52" i="1" l="1"/>
  <c r="J54" i="1"/>
  <c r="J51" i="1"/>
  <c r="AG2" i="3"/>
  <c r="J55" i="1"/>
  <c r="AJ2" i="3" s="1"/>
  <c r="J53" i="1"/>
  <c r="AH2" i="3" s="1"/>
  <c r="L57" i="1"/>
  <c r="L64" i="1" s="1"/>
  <c r="L71" i="1" s="1"/>
  <c r="AV4" i="3" s="1"/>
  <c r="M57" i="1"/>
  <c r="M64" i="1" s="1"/>
  <c r="M71" i="1" s="1"/>
  <c r="AV5" i="3" s="1"/>
  <c r="N57" i="1"/>
  <c r="N64" i="1" s="1"/>
  <c r="N71" i="1" s="1"/>
  <c r="AV6" i="3" s="1"/>
  <c r="K57" i="1"/>
  <c r="K64" i="1" s="1"/>
  <c r="K71" i="1" s="1"/>
  <c r="AV3" i="3" s="1"/>
  <c r="AE5" i="3"/>
  <c r="P54" i="1" l="1"/>
  <c r="AI2" i="3"/>
  <c r="J57" i="1"/>
  <c r="J64" i="1" s="1"/>
  <c r="J71" i="1" s="1"/>
  <c r="AV2" i="3" s="1"/>
  <c r="AF5" i="3"/>
  <c r="AE3" i="3" l="1"/>
  <c r="AE4" i="3"/>
  <c r="AE6" i="3"/>
  <c r="AF2" i="3"/>
  <c r="AE2" i="3"/>
  <c r="AF6" i="3"/>
  <c r="AF3" i="3"/>
  <c r="AF4" i="3"/>
  <c r="P50" i="1"/>
  <c r="AL5" i="3" l="1"/>
  <c r="P52" i="1"/>
  <c r="P53" i="1"/>
  <c r="AQ5" i="3"/>
  <c r="P51" i="1"/>
  <c r="P55" i="1"/>
  <c r="AL4" i="3" l="1"/>
  <c r="AL6" i="3"/>
  <c r="AL3" i="3"/>
  <c r="AL2" i="3"/>
  <c r="P57" i="1"/>
  <c r="P64" i="1" l="1"/>
  <c r="AQ3" i="3"/>
  <c r="AQ6" i="3"/>
  <c r="AQ4" i="3"/>
  <c r="AQ2" i="3"/>
  <c r="P71"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<sst xmlns="http://schemas.openxmlformats.org/spreadsheetml/2006/main" count="717" uniqueCount="689">
  <si>
    <t>date_effective</t>
  </si>
  <si>
    <t>district</t>
  </si>
  <si>
    <t>clergy_name</t>
  </si>
  <si>
    <t>status_time</t>
  </si>
  <si>
    <t>conf_relation</t>
  </si>
  <si>
    <t>church_name</t>
  </si>
  <si>
    <t>church_number</t>
  </si>
  <si>
    <t>salary</t>
  </si>
  <si>
    <t>Greater New Jersey Conference</t>
  </si>
  <si>
    <t xml:space="preserve">Church # </t>
  </si>
  <si>
    <t>Church #</t>
  </si>
  <si>
    <t>It is highly recommended to review the instructions as a guide when completing this report. Click here to view these instructions.</t>
  </si>
  <si>
    <t>TOTAL</t>
  </si>
  <si>
    <t>GNJAC Equitable Compensation Grant</t>
  </si>
  <si>
    <t>GNJAC Salary Supplement Grant</t>
  </si>
  <si>
    <t>GNJAC Other Grant</t>
  </si>
  <si>
    <r>
      <rPr>
        <b/>
        <sz val="11"/>
        <color theme="1"/>
        <rFont val="Aptos Narrow"/>
        <family val="2"/>
        <scheme val="minor"/>
      </rPr>
      <t>Taxable Cash Allowances</t>
    </r>
    <r>
      <rPr>
        <sz val="11"/>
        <color theme="1"/>
        <rFont val="Aptos Narrow"/>
        <family val="2"/>
        <scheme val="minor"/>
      </rPr>
      <t xml:space="preserve"> </t>
    </r>
    <r>
      <rPr>
        <sz val="10"/>
        <color theme="1"/>
        <rFont val="Aptos Narrow"/>
        <family val="2"/>
        <scheme val="minor"/>
      </rPr>
      <t xml:space="preserve">(e.g. non-vouchered expenses, bonuses, etc.)  </t>
    </r>
  </si>
  <si>
    <t xml:space="preserve"> SALARY COMPONENTS</t>
  </si>
  <si>
    <r>
      <t xml:space="preserve">Tax Sheltered Salary Items </t>
    </r>
    <r>
      <rPr>
        <sz val="11"/>
        <color indexed="8"/>
        <rFont val="Aptos Narrow"/>
        <family val="2"/>
        <scheme val="minor"/>
      </rPr>
      <t>(Do not report in W-2 Box 1)</t>
    </r>
  </si>
  <si>
    <r>
      <rPr>
        <b/>
        <sz val="11"/>
        <color theme="1"/>
        <rFont val="Aptos Narrow"/>
        <family val="2"/>
        <scheme val="minor"/>
      </rPr>
      <t xml:space="preserve">Housing Exclusion
</t>
    </r>
    <r>
      <rPr>
        <sz val="10.5"/>
        <rFont val="Aptos Narrow"/>
        <family val="2"/>
        <scheme val="minor"/>
      </rPr>
      <t>Amount excluded from pastor's taxable income for costs directly related to providing a home. See instructions for more information/examples. Amount entered here will populate on the Housing Exclusion Resolution on page 3 of this report.
Report in W-2 Box 14</t>
    </r>
  </si>
  <si>
    <t>Parsonage</t>
  </si>
  <si>
    <r>
      <t xml:space="preserve">Benefits (Non-Taxable) </t>
    </r>
    <r>
      <rPr>
        <sz val="11"/>
        <color theme="1"/>
        <rFont val="Aptos Narrow"/>
        <family val="2"/>
        <scheme val="minor"/>
      </rPr>
      <t>-</t>
    </r>
    <r>
      <rPr>
        <b/>
        <sz val="11"/>
        <color theme="1"/>
        <rFont val="Aptos Narrow"/>
        <family val="2"/>
        <scheme val="minor"/>
      </rPr>
      <t xml:space="preserve"> </t>
    </r>
    <r>
      <rPr>
        <sz val="11"/>
        <color theme="1"/>
        <rFont val="Aptos Narrow"/>
        <family val="2"/>
        <scheme val="minor"/>
      </rPr>
      <t xml:space="preserve">Adding an X under the appropriate box below autopopulates the benefits these specific conference relationships and appointment statuses are eligible to receive. An X is not required for all conference relationships.                                </t>
    </r>
  </si>
  <si>
    <t xml:space="preserve">C. If you are serving 3/4 or 1/2 time as an OF, enter X here  </t>
  </si>
  <si>
    <t xml:space="preserve">D. If you are serving 1/2 time as an AM  FD  FE  PD  OA  OD  OE  OP  PE, enter X here  </t>
  </si>
  <si>
    <t>E. If you are serving 1/4 time as an PL  AM  FD  FE  PD  OA  OD  OE  OF  OP  PE, enter X here</t>
  </si>
  <si>
    <r>
      <rPr>
        <b/>
        <sz val="11"/>
        <color theme="1"/>
        <rFont val="Aptos Narrow"/>
        <family val="2"/>
        <scheme val="minor"/>
      </rPr>
      <t>Other Non-Taxable Benefits</t>
    </r>
    <r>
      <rPr>
        <sz val="10.5"/>
        <color theme="1"/>
        <rFont val="Aptos Narrow"/>
        <family val="2"/>
        <scheme val="minor"/>
      </rPr>
      <t xml:space="preserve"> </t>
    </r>
    <r>
      <rPr>
        <sz val="10.5"/>
        <rFont val="Aptos Narrow"/>
        <family val="2"/>
        <scheme val="minor"/>
      </rPr>
      <t>(See instructions for directions/examples)</t>
    </r>
  </si>
  <si>
    <t>Travel Expenses</t>
  </si>
  <si>
    <t>Continuing Education Expenses</t>
  </si>
  <si>
    <t>Other Business Expenses</t>
  </si>
  <si>
    <r>
      <t>Total Salary and Benefits Package</t>
    </r>
    <r>
      <rPr>
        <sz val="11"/>
        <color indexed="8"/>
        <rFont val="Aptos Narrow"/>
        <family val="2"/>
        <scheme val="minor"/>
      </rPr>
      <t xml:space="preserve"> </t>
    </r>
  </si>
  <si>
    <t xml:space="preserve">Type names below to sign. It is required to add these electronic signatures before sending this report to the regional office. Clicking the "I Agree" box indicates that the salary package has been approved by the appropriate body. Final approval is contingent upon a vote by the church conference and the signature of the District Superintendent. </t>
  </si>
  <si>
    <t xml:space="preserve">DATE APPROVED AT CHURCH CONFERENCE: </t>
  </si>
  <si>
    <t xml:space="preserve">TYPE NAME </t>
  </si>
  <si>
    <t>I AGREE</t>
  </si>
  <si>
    <t>TYPE EMAIL ADDRESS</t>
  </si>
  <si>
    <t>Clergy:</t>
  </si>
  <si>
    <t>District Superintendent:</t>
  </si>
  <si>
    <t>WHEREAS, it is the policy of the Greater New Jersey Conference of The United Methodist Church that Administrative Boards/Councils and Church Conferences annually designate in an official resolution a portion of the clergyperson’s compensation as housing allowance; and whereas, Section 107 of the Internal Revenue Code provides that the rental value of a home furnished to or by a minister of the gospel, or the amount of a cash housing or rental allowance paid to the minister is not included in his or her gross income reporting for income tax purposes.</t>
  </si>
  <si>
    <t>Pastor:</t>
  </si>
  <si>
    <t>Address:</t>
  </si>
  <si>
    <t xml:space="preserve">A.  PARSONAGE – Church Provided Housing </t>
  </si>
  <si>
    <t>Church/Housing Exclusion Amount:</t>
  </si>
  <si>
    <t>B.  NO PARSONAGE – Minister Provided Housing</t>
  </si>
  <si>
    <t>Church/Housing Allowance Amount:</t>
  </si>
  <si>
    <t>Housing exclusion is meant to defray costs incurred by clergy which directly relates to providing a home for self and family including, as applicable, any and all of the following: rent, mortgage payments and interest, furnishings, insurance, real estate taxes, utilities, maintenance and upkeep, and any other expenses directly associated with the provision of housing. Allowable expenses do not include personal items such as food, clothing, entertainment, and domestic help.</t>
  </si>
  <si>
    <t>The IRS rule of limitation on this benefit is the lesser amount of 1) the amount of the housing exclusion resolution as herein designated; 2) The amount actually spent for the provision of housing; or 3) The fair market rental value of the home or parsonage plus all other related expenses in the particular neighborhood of the residence in question.</t>
  </si>
  <si>
    <t xml:space="preserve">This resolution sets a “not to exceed” amount for actual housing expenses that clergy may expend from salary and/or cash housing allowance. Only the actual expenses may be excluded from income. Clergy must keep careful records such as actual invoices which would substantiate the exclusion in an IRS audit. Clergy add the unexpended difference on his/her Form 1040. Those clergy who receive a cash housing allowance in lieu of a parsonage may set higher limits but must follow the above IRS rules. Note: Clergy must include fair market rental value of their housing when paying Self-Employment Tax (S.E.C.A.) of 15.3%. Distribute copies to: Pastor, District Superintendent, Church Treasurer(s). </t>
  </si>
  <si>
    <t xml:space="preserve">TYPE NAME BELOW TO SIGN. CHECK THE "I AGREE" BOX TO INDICATE APPROVAL BY THE APPROPRIATE BODY. </t>
  </si>
  <si>
    <t>Date approved at church conference</t>
  </si>
  <si>
    <t>District Superintendent</t>
  </si>
  <si>
    <t>AF - Affiliate Member</t>
  </si>
  <si>
    <t>Cape Atlantic</t>
  </si>
  <si>
    <t>Full Time</t>
  </si>
  <si>
    <t>AM - Associate Member</t>
  </si>
  <si>
    <t>Central</t>
  </si>
  <si>
    <t>3/4</t>
  </si>
  <si>
    <t>Delaware Bay</t>
  </si>
  <si>
    <t>1/2</t>
  </si>
  <si>
    <t>DM - Diaconal Minister</t>
  </si>
  <si>
    <t>Meadowlands</t>
  </si>
  <si>
    <t>1/4</t>
  </si>
  <si>
    <t>Raritan Shore</t>
  </si>
  <si>
    <t>Skylands</t>
  </si>
  <si>
    <t>PD - Provisional Deacon</t>
  </si>
  <si>
    <t>PE - Provisional Elder</t>
  </si>
  <si>
    <t>RA - Retired Associate Member</t>
  </si>
  <si>
    <t>RL - Retired Local Pastor</t>
  </si>
  <si>
    <t>RP - Retired Provisional Member</t>
  </si>
  <si>
    <t>LM - Certified Lay Minister</t>
  </si>
  <si>
    <t>other_grant</t>
  </si>
  <si>
    <t>taxable_cash_allowance</t>
  </si>
  <si>
    <t>housing_allowance</t>
  </si>
  <si>
    <t>church_total_salary</t>
  </si>
  <si>
    <t>umpip</t>
  </si>
  <si>
    <t>403b _investment</t>
  </si>
  <si>
    <t>housing_exclusion</t>
  </si>
  <si>
    <t>total_tax_sheltered_salary</t>
  </si>
  <si>
    <t>church_expenses_not_included</t>
  </si>
  <si>
    <t>cash_paid_to_clergy</t>
  </si>
  <si>
    <t>total_federal_taxable_salary</t>
  </si>
  <si>
    <t>total_salary</t>
  </si>
  <si>
    <t>parsonage_provided</t>
  </si>
  <si>
    <t>parsonage_value_pension</t>
  </si>
  <si>
    <t>health_insurance_premium</t>
  </si>
  <si>
    <t>pension_plan_comp</t>
  </si>
  <si>
    <t>cpp</t>
  </si>
  <si>
    <t>umlife</t>
  </si>
  <si>
    <t>total_benefit_costs</t>
  </si>
  <si>
    <t>travel_expense</t>
  </si>
  <si>
    <t>cont_ed_expense</t>
  </si>
  <si>
    <t>other_business_expense</t>
  </si>
  <si>
    <t>total_reimbursed_expense</t>
  </si>
  <si>
    <t>total_salary_benefits</t>
  </si>
  <si>
    <t>Select One - Dropdown</t>
  </si>
  <si>
    <t>Princeton UMC</t>
  </si>
  <si>
    <t>Church Name - Dropdown</t>
  </si>
  <si>
    <t>African UMC (Trenton)</t>
  </si>
  <si>
    <t>Aldersgate UMC (East Brunswick)</t>
  </si>
  <si>
    <t>Aldine UMC</t>
  </si>
  <si>
    <t>Allentown UMC</t>
  </si>
  <si>
    <t>Alloway UMC</t>
  </si>
  <si>
    <t>Almonesson UMC</t>
  </si>
  <si>
    <t>Andover UMC</t>
  </si>
  <si>
    <t>Appenzeller Nairi UMC (Woodland Park)</t>
  </si>
  <si>
    <t>Archer UMC (Allendale)</t>
  </si>
  <si>
    <t>Arcola Korean UMC (Paramus)</t>
  </si>
  <si>
    <t>Arcola UMC (Paramus)</t>
  </si>
  <si>
    <t>Asbury UMC</t>
  </si>
  <si>
    <t>Asbury UMC (Atlantic City)</t>
  </si>
  <si>
    <t>Asbury UMC (Camden)</t>
  </si>
  <si>
    <t>Asbury UMC (Cinnaminson)</t>
  </si>
  <si>
    <t>Asbury UMC (Egg Harbor Twp)</t>
  </si>
  <si>
    <t>Asbury UMC (Swainton)</t>
  </si>
  <si>
    <t>Asbury UMC (Woodlynne)</t>
  </si>
  <si>
    <t>Asbury UMC (Woodstown)</t>
  </si>
  <si>
    <t>Atco UMC</t>
  </si>
  <si>
    <t>Audubon UMC</t>
  </si>
  <si>
    <t>Aura UMC (Monroeville)</t>
  </si>
  <si>
    <t>Ballard UMC of Asbury Park</t>
  </si>
  <si>
    <t>Barnsboro UMC</t>
  </si>
  <si>
    <t>Barryville UMC</t>
  </si>
  <si>
    <t>Belford UMC</t>
  </si>
  <si>
    <t>Belleplain UMC</t>
  </si>
  <si>
    <t>Belvidere UMC</t>
  </si>
  <si>
    <t>Bergen Highlands UMC (Upper Saddle River</t>
  </si>
  <si>
    <t>Bernardsville UMC</t>
  </si>
  <si>
    <t>Bethany St John's UMC (Pleasantville)</t>
  </si>
  <si>
    <t>Bethel UMC (Green Creek)</t>
  </si>
  <si>
    <t>Bethesda UMC (Adelphia)</t>
  </si>
  <si>
    <t>Bethesda UMC (Swedesboro)</t>
  </si>
  <si>
    <t>Beverly UMC</t>
  </si>
  <si>
    <t>Bishop Janes UMC (Basking Ridge)</t>
  </si>
  <si>
    <t>Blackwood UMC</t>
  </si>
  <si>
    <t>Bloomingdale UMC</t>
  </si>
  <si>
    <t>Boonton UMC</t>
  </si>
  <si>
    <t>Bound Brook Hispanic Mission</t>
  </si>
  <si>
    <t>Bound Brook UMC</t>
  </si>
  <si>
    <t>Bountiful UMC of Martinsville</t>
  </si>
  <si>
    <t>Bridgewater UMC</t>
  </si>
  <si>
    <t>Broad St UMC (Burlington)</t>
  </si>
  <si>
    <t>Broadway UMC</t>
  </si>
  <si>
    <t>Broadway UMC (Salem)</t>
  </si>
  <si>
    <t>Brooklawn UMC</t>
  </si>
  <si>
    <t>Browns Mills UMC</t>
  </si>
  <si>
    <t>Buckshutem UMC</t>
  </si>
  <si>
    <t>Buddtown UMC</t>
  </si>
  <si>
    <t>Butler UMC</t>
  </si>
  <si>
    <t>Buttzville UMC</t>
  </si>
  <si>
    <t>Caldwell UMC</t>
  </si>
  <si>
    <t>Califon UMC</t>
  </si>
  <si>
    <t>Calvary Korean UMC (East Brunswick)</t>
  </si>
  <si>
    <t>Calvary UMC (Dumont)</t>
  </si>
  <si>
    <t>Calvary UMC (Keyport)</t>
  </si>
  <si>
    <t>Canton UMC</t>
  </si>
  <si>
    <t>Cape May UMC</t>
  </si>
  <si>
    <t>Cedar Cliff UMC (Haledon)</t>
  </si>
  <si>
    <t>Cedar Grove UMC (Toms River)</t>
  </si>
  <si>
    <t>Centenary UMC (Berlin)</t>
  </si>
  <si>
    <t>Centenary UMC (Metuchen)</t>
  </si>
  <si>
    <t>Central UMC (Linwood)</t>
  </si>
  <si>
    <t>Central UMC (Point Pleasant)</t>
  </si>
  <si>
    <t>Changewater UMC</t>
  </si>
  <si>
    <t>Chatham UMC</t>
  </si>
  <si>
    <t>Chatsworth UMC</t>
  </si>
  <si>
    <t>Chews UMC (Glendora)</t>
  </si>
  <si>
    <t>Christ Church UMC (Fair Haven)</t>
  </si>
  <si>
    <t>Christ Church UMC (Paterson)</t>
  </si>
  <si>
    <t>Christ First UMC (Hasbrouck Hgts.)</t>
  </si>
  <si>
    <t>Christ UMC (Jersey City)</t>
  </si>
  <si>
    <t>Christ UMC (Lakewood)</t>
  </si>
  <si>
    <t>Christ UMC (Piscataway)</t>
  </si>
  <si>
    <t>Church of the Covenant UMC (Jersey City)</t>
  </si>
  <si>
    <t>Church of the Good Shepherd (Bergenfield</t>
  </si>
  <si>
    <t>Church of the Good Shepherd (Willingboro</t>
  </si>
  <si>
    <t>Clair Memorial UMC (Jersey City)</t>
  </si>
  <si>
    <t>Clinton UMC</t>
  </si>
  <si>
    <t>Clonmell UMC (Gibbstown)</t>
  </si>
  <si>
    <t>Cokesbury UMC</t>
  </si>
  <si>
    <t>Colonial Manor UMC (Woodbury)</t>
  </si>
  <si>
    <t>Colonial UMC (Oxford)</t>
  </si>
  <si>
    <t>Community Church (Hoboken)</t>
  </si>
  <si>
    <t>Community UMC (Roselle Park)</t>
  </si>
  <si>
    <t>Congers UMC</t>
  </si>
  <si>
    <t>Conklin UMC (South River)</t>
  </si>
  <si>
    <t>Cookstown UMC</t>
  </si>
  <si>
    <t>Covenant UMC (Plainfield)</t>
  </si>
  <si>
    <t>Cranbury UMC</t>
  </si>
  <si>
    <t>Cranford UMC</t>
  </si>
  <si>
    <t>Cross Keys UMC</t>
  </si>
  <si>
    <t>Crosswicks UMC</t>
  </si>
  <si>
    <t>Cumberland UMC (Millville)</t>
  </si>
  <si>
    <t>Davis Memorial UMC (Harrison)</t>
  </si>
  <si>
    <t>DeBows UMC (Jackson)</t>
  </si>
  <si>
    <t>Deerfield UMC</t>
  </si>
  <si>
    <t>Delaware Valley UMC (Sandyston)</t>
  </si>
  <si>
    <t>Delmont UMC</t>
  </si>
  <si>
    <t>Dennisville UMC</t>
  </si>
  <si>
    <t>Denville Community UMC</t>
  </si>
  <si>
    <t>Dias Creek UMC</t>
  </si>
  <si>
    <t>Dingman's Ferry UMC</t>
  </si>
  <si>
    <t>Disciple Church (Harrington Park)</t>
  </si>
  <si>
    <t>Dobbins Memorial UMC (Delanco)</t>
  </si>
  <si>
    <t>Dorchester UMC</t>
  </si>
  <si>
    <t>Downer UMC (Williamstown)</t>
  </si>
  <si>
    <t>Drakestown UMC (Hackettstown)</t>
  </si>
  <si>
    <t>Drew UMC (Port Jervis)</t>
  </si>
  <si>
    <t>East Millstone UMC</t>
  </si>
  <si>
    <t>East Pennsauken UMC (Pennsauken)</t>
  </si>
  <si>
    <t>Ebenezer UMC (Auburn)</t>
  </si>
  <si>
    <t>Eldora UMC</t>
  </si>
  <si>
    <t>Emanuel UMC (Union City)</t>
  </si>
  <si>
    <t>Embury UMC (Little Silver)</t>
  </si>
  <si>
    <t>Emmanuel UMC (Oaklyn)</t>
  </si>
  <si>
    <t>Emmaus UMC of Smithville</t>
  </si>
  <si>
    <t>Epworth UMC (Palmyra)</t>
  </si>
  <si>
    <t>Evangelical UMC (Clarksboro)</t>
  </si>
  <si>
    <t>Everittstown UMC</t>
  </si>
  <si>
    <t>Fairton UMC</t>
  </si>
  <si>
    <t>Faith Community UMC (Bayville)</t>
  </si>
  <si>
    <t>Fellowship UMC (Haddon Heights)</t>
  </si>
  <si>
    <t>Ferrell UMC</t>
  </si>
  <si>
    <t>Ferry Ave UMC (Camden)</t>
  </si>
  <si>
    <t>First Filipino American UMC (Jersey City</t>
  </si>
  <si>
    <t>First UMC (Asbury Park)</t>
  </si>
  <si>
    <t>First UMC (Avalon)</t>
  </si>
  <si>
    <t>First UMC (Barrington)</t>
  </si>
  <si>
    <t>First UMC (Beach Haven Terr)</t>
  </si>
  <si>
    <t>First UMC (Blairstown)</t>
  </si>
  <si>
    <t>First UMC (Cape May Court House)</t>
  </si>
  <si>
    <t>First UMC (Collingswood)</t>
  </si>
  <si>
    <t>First UMC (Delran)</t>
  </si>
  <si>
    <t>First UMC (Englewood)</t>
  </si>
  <si>
    <t>First UMC (Farmingdale)</t>
  </si>
  <si>
    <t>First UMC (Freehold)</t>
  </si>
  <si>
    <t>First UMC (Glassboro)</t>
  </si>
  <si>
    <t>First UMC (Hammonton)</t>
  </si>
  <si>
    <t>First UMC (Hightstown)</t>
  </si>
  <si>
    <t>First UMC (Keansburg)</t>
  </si>
  <si>
    <t>First UMC (Mays Landing)</t>
  </si>
  <si>
    <t>First UMC (Millville)</t>
  </si>
  <si>
    <t>First UMC (Montclair)</t>
  </si>
  <si>
    <t>First UMC (Moorestown)</t>
  </si>
  <si>
    <t>First UMC (Mount Holly)</t>
  </si>
  <si>
    <t>First UMC (National Park)</t>
  </si>
  <si>
    <t>First UMC (Newfield)</t>
  </si>
  <si>
    <t>First UMC (Newton)</t>
  </si>
  <si>
    <t>First UMC (Oakhurst)</t>
  </si>
  <si>
    <t>First UMC (Passaic)</t>
  </si>
  <si>
    <t>First UMC (Port Norris)</t>
  </si>
  <si>
    <t>First UMC (Ridgefield Park)</t>
  </si>
  <si>
    <t>First UMC (Scotch Plains)</t>
  </si>
  <si>
    <t>First UMC (Sea Bright)</t>
  </si>
  <si>
    <t>First UMC (Somerville)</t>
  </si>
  <si>
    <t>First UMC (Stony Point)</t>
  </si>
  <si>
    <t>First UMC (Toms River)</t>
  </si>
  <si>
    <t>First UMC (Tuckerton)</t>
  </si>
  <si>
    <t>First UMC (Vineland)</t>
  </si>
  <si>
    <t>First UMC (Westfield)</t>
  </si>
  <si>
    <t>First UMC (Williamstown)</t>
  </si>
  <si>
    <t>First UMC Mt Zion (Hillsborough)</t>
  </si>
  <si>
    <t>Flanders UMC</t>
  </si>
  <si>
    <t>Flemington UMC</t>
  </si>
  <si>
    <t>Fourth UMC (Millville)</t>
  </si>
  <si>
    <t>Frankford Plains UMC (Augusta)</t>
  </si>
  <si>
    <t>Franklin-St John's UMC (Newark)</t>
  </si>
  <si>
    <t>Franklinville UMC</t>
  </si>
  <si>
    <t>Free Union-Vienna UMC (Great Meadows)</t>
  </si>
  <si>
    <t>Frenchtown UMC</t>
  </si>
  <si>
    <t>Friendship UMC (Monroeville)</t>
  </si>
  <si>
    <t>Friendship-Finley UMC (Bridgeton)</t>
  </si>
  <si>
    <t>Galilee UMC (Englewood)</t>
  </si>
  <si>
    <t>Ghana Calvary UMC (Verona)</t>
  </si>
  <si>
    <t>Gibbsboro UMC</t>
  </si>
  <si>
    <t>Good Shepherd UMC (Northfield)</t>
  </si>
  <si>
    <t>Grace UMC (Dover)</t>
  </si>
  <si>
    <t>Grace UMC (Kearny)</t>
  </si>
  <si>
    <t>Grace UMC (Union Beach)</t>
  </si>
  <si>
    <t>Grace UMC (Wyckoff)</t>
  </si>
  <si>
    <t>Grace Union UMC (Blue Anchor)</t>
  </si>
  <si>
    <t>Green Village UMC</t>
  </si>
  <si>
    <t>Greenville UMC</t>
  </si>
  <si>
    <t>Groveville UMC</t>
  </si>
  <si>
    <t>Hackensack UMC</t>
  </si>
  <si>
    <t>Haddonfield UMC</t>
  </si>
  <si>
    <t>Haines Neck UMC</t>
  </si>
  <si>
    <t>Haitian UMC (Irvington)</t>
  </si>
  <si>
    <t>Haleyville UMC</t>
  </si>
  <si>
    <t>Hamilton Memorial UMC (Atlantic City)</t>
  </si>
  <si>
    <t>Hamilton UMC (Neptune)</t>
  </si>
  <si>
    <t>Hancock's Bridge UMC</t>
  </si>
  <si>
    <t>Harmony Hill UMC (Stillwater)</t>
  </si>
  <si>
    <t>Harvey Memorial UMC (Point Pleasant)</t>
  </si>
  <si>
    <t>Haven UMC (Quinton)</t>
  </si>
  <si>
    <t>Hedding UMC</t>
  </si>
  <si>
    <t>Heisler Memorial UMC (Heislerville)</t>
  </si>
  <si>
    <t>High Bridge UMC</t>
  </si>
  <si>
    <t>Hillsdale UMC</t>
  </si>
  <si>
    <t>Hope UMC (Voorhees Twp)</t>
  </si>
  <si>
    <t>Hopewell UMC</t>
  </si>
  <si>
    <t>Hudson UMC (Pedricktown)</t>
  </si>
  <si>
    <t>Hurdtown UMC (Lake Hopatcong)</t>
  </si>
  <si>
    <t>Hurffville Bethel UMC</t>
  </si>
  <si>
    <t>Iglesia Metodista Unida Manantial De Vid</t>
  </si>
  <si>
    <t>Ignite UMC</t>
  </si>
  <si>
    <t>Indian Mills UMC (Shamong)</t>
  </si>
  <si>
    <t>Irvington UMC</t>
  </si>
  <si>
    <t>Island Heights UMC</t>
  </si>
  <si>
    <t>Jackson UMC</t>
  </si>
  <si>
    <t>Jerseyville UMC (Freehold)</t>
  </si>
  <si>
    <t>John Wesley UMC (Bridgeton)</t>
  </si>
  <si>
    <t>John Wesley UMC (Port Norris)</t>
  </si>
  <si>
    <t>John Wesley UMC (Swainton)</t>
  </si>
  <si>
    <t>Juliustown UMC</t>
  </si>
  <si>
    <t>Kemble Memorial UMC (Woodbury)</t>
  </si>
  <si>
    <t>Kingston UMC</t>
  </si>
  <si>
    <t>Kingwood UMC (Stockton)</t>
  </si>
  <si>
    <t>Knowlton UMC (Columbia)</t>
  </si>
  <si>
    <t>Korean UMC of SNJ</t>
  </si>
  <si>
    <t>Kynett UMC (Beach Haven)</t>
  </si>
  <si>
    <t>La Resurreccion UMC (Haverstraw)</t>
  </si>
  <si>
    <t>Lacey UMC (Forked River)</t>
  </si>
  <si>
    <t>Ladentown UMC</t>
  </si>
  <si>
    <t>Lakehurst UMC</t>
  </si>
  <si>
    <t>Leonia UMC</t>
  </si>
  <si>
    <t>Lifegate Church (Somers Point)</t>
  </si>
  <si>
    <t>Living Hope UMC (Elizabeth)</t>
  </si>
  <si>
    <t>Livingston Korean UMC</t>
  </si>
  <si>
    <t>Livingston UMC</t>
  </si>
  <si>
    <t>Lumberton UMC</t>
  </si>
  <si>
    <t>Lyndhurst UMC</t>
  </si>
  <si>
    <t>Macedonia UMC (Ocean City)</t>
  </si>
  <si>
    <t>Magnolia Road UMC (Pemberton)</t>
  </si>
  <si>
    <t>Makers Place-Trenton Mission Initiative</t>
  </si>
  <si>
    <t>Malaga UMC</t>
  </si>
  <si>
    <t>Manahawkin UMC</t>
  </si>
  <si>
    <t>Manasquan UMC</t>
  </si>
  <si>
    <t>Marlton UMC</t>
  </si>
  <si>
    <t>Masonville-Rancocas UMC</t>
  </si>
  <si>
    <t>Matawan UMC (Aberdeen)</t>
  </si>
  <si>
    <t>Mauricetown UMC</t>
  </si>
  <si>
    <t>Medford UMC</t>
  </si>
  <si>
    <t>Mendham UMC</t>
  </si>
  <si>
    <t>Middletown UMC</t>
  </si>
  <si>
    <t>Midland Park UMC</t>
  </si>
  <si>
    <t>Midvale UMC (Wanaque)</t>
  </si>
  <si>
    <t>Milford UMC</t>
  </si>
  <si>
    <t>Millbrook UMC (Randolph)</t>
  </si>
  <si>
    <t>Milton UMC</t>
  </si>
  <si>
    <t>Minotola UMC</t>
  </si>
  <si>
    <t>Monmouth Grace UMC (Eatontown)</t>
  </si>
  <si>
    <t>Montana UMC (Phillipsburg)</t>
  </si>
  <si>
    <t>Montgomery UMC (Belle Mead)</t>
  </si>
  <si>
    <t>Montville UMC (Towaco)</t>
  </si>
  <si>
    <t>Morganville UMC</t>
  </si>
  <si>
    <t>Morristown Korean UMC (Randolph)</t>
  </si>
  <si>
    <t>Morristown UMC</t>
  </si>
  <si>
    <t>Morrow Memorial UMC (Maplewood)</t>
  </si>
  <si>
    <t>Mt Hope UMC (Salem)</t>
  </si>
  <si>
    <t>Mt Horeb UMC (Warren)</t>
  </si>
  <si>
    <t>Mt Pleasant UMC (Millville)</t>
  </si>
  <si>
    <t>Mt Pleasant UMC (Pleasantville)</t>
  </si>
  <si>
    <t>Mt Zion UMC (Barnsboro)</t>
  </si>
  <si>
    <t>Mt Zion UMC (Lawnside)</t>
  </si>
  <si>
    <t>Mt Zion-Wesley UMC (Wenonah)</t>
  </si>
  <si>
    <t>Neshanic UMC (Branchburg)</t>
  </si>
  <si>
    <t>New Brooklyn UMC (Williamstown)</t>
  </si>
  <si>
    <t>New Canaan UMC (Kearny)</t>
  </si>
  <si>
    <t>New Covenant UMC (Hamilton Twp)</t>
  </si>
  <si>
    <t>New Dover UMC (Edison)</t>
  </si>
  <si>
    <t>New Egypt UMC</t>
  </si>
  <si>
    <t>New Hope UMC (Millville)</t>
  </si>
  <si>
    <t>New Hope UMC (Penns Grove)</t>
  </si>
  <si>
    <t>New Providence UMC</t>
  </si>
  <si>
    <t>Newport UMC</t>
  </si>
  <si>
    <t>North Wildwood UMC</t>
  </si>
  <si>
    <t>Nuevo Nacimiento (Paterson)</t>
  </si>
  <si>
    <t>Oasis UMC (Pleasantville)</t>
  </si>
  <si>
    <t>Oceanport UMC</t>
  </si>
  <si>
    <t>Oceanville UMC</t>
  </si>
  <si>
    <t>Old First UMC (West Long Branch)</t>
  </si>
  <si>
    <t>Olivet UMC (Pittsgrove)</t>
  </si>
  <si>
    <t>Panther Valley Ecumenical (Allamuchy)</t>
  </si>
  <si>
    <t>Park Ave-St John's UMC (East Orange)</t>
  </si>
  <si>
    <t>Park Ridge UMC</t>
  </si>
  <si>
    <t>Park UMC (Bloomfield)</t>
  </si>
  <si>
    <t>Park UMC (Weehawken)</t>
  </si>
  <si>
    <t>Parkside UMC (Camden)</t>
  </si>
  <si>
    <t>Pattenburg UMC (Asbury)</t>
  </si>
  <si>
    <t>Pearson Memorial UMC (Hamilton Twp)</t>
  </si>
  <si>
    <t>Pemberton UMC</t>
  </si>
  <si>
    <t>Pennington UMC</t>
  </si>
  <si>
    <t>Pennsauken UMC</t>
  </si>
  <si>
    <t>Pinelands UMC (Hammonton)</t>
  </si>
  <si>
    <t>Piney Hollow UMC (Newfield)</t>
  </si>
  <si>
    <t>Pitman UMC</t>
  </si>
  <si>
    <t>Plainville UMC (Franklinville)</t>
  </si>
  <si>
    <t>Pleasant Grove UMC (Jackson)</t>
  </si>
  <si>
    <t>Pond Eddy UMC</t>
  </si>
  <si>
    <t>Porchtown Zion UMC (Newfield)</t>
  </si>
  <si>
    <t>Port Colden UMC</t>
  </si>
  <si>
    <t>Port Elizabeth UMC</t>
  </si>
  <si>
    <t>Port Morris UMC (Landing)</t>
  </si>
  <si>
    <t>Quakertown UMC</t>
  </si>
  <si>
    <t>Quinton UMC</t>
  </si>
  <si>
    <t>Repaupo UMC</t>
  </si>
  <si>
    <t>Rhoads Temple UMC (Haddonfield)</t>
  </si>
  <si>
    <t>Richwood UMC</t>
  </si>
  <si>
    <t>Ridgewood UMC</t>
  </si>
  <si>
    <t>Rise Church (East Orange)</t>
  </si>
  <si>
    <t>Rockaway Valley UMC (Boonton Twp)</t>
  </si>
  <si>
    <t>Roseland UMC</t>
  </si>
  <si>
    <t>Roselle UMC</t>
  </si>
  <si>
    <t>Rosenhayn UMC</t>
  </si>
  <si>
    <t>Round Valley UMC (Lebanon)</t>
  </si>
  <si>
    <t>Rutherford UMC</t>
  </si>
  <si>
    <t>Salem UMC (Pleasantville)</t>
  </si>
  <si>
    <t>Sayreville UMC</t>
  </si>
  <si>
    <t>Sea Isle City UMC</t>
  </si>
  <si>
    <t>Seaville UMC (Ocean View)</t>
  </si>
  <si>
    <t>Sergeantsville UMC</t>
  </si>
  <si>
    <t>Simply Grace UMC (Bloomsbury)</t>
  </si>
  <si>
    <t>Simpson UMC (Old Bridge)</t>
  </si>
  <si>
    <t>Simpson UMC (Perth Amboy)</t>
  </si>
  <si>
    <t>Smithville UMC (Eastampton)</t>
  </si>
  <si>
    <t>South Orange Vailsburg UMC</t>
  </si>
  <si>
    <t>South Seaville UMC</t>
  </si>
  <si>
    <t>South Vineland UMC</t>
  </si>
  <si>
    <t>Sparrow Bush UMC</t>
  </si>
  <si>
    <t>Sparta UMC</t>
  </si>
  <si>
    <t>Springdale UMC (Warren)</t>
  </si>
  <si>
    <t>Squankum UMC (Howell)</t>
  </si>
  <si>
    <t>St Andrew UMC (Toms River)</t>
  </si>
  <si>
    <t>St Andrew's UMC (Cherry Hill)</t>
  </si>
  <si>
    <t>St Andrew's UMC (Spring Lake)</t>
  </si>
  <si>
    <t>St John's UMC (Fordville)</t>
  </si>
  <si>
    <t>St John's UMC (Harrisonville)</t>
  </si>
  <si>
    <t>St John's UMC (Hazlet)</t>
  </si>
  <si>
    <t>St John's UMC (Hope)</t>
  </si>
  <si>
    <t>St John's UMC (West Berlin)</t>
  </si>
  <si>
    <t>St Luke's UMC (Long Branch)</t>
  </si>
  <si>
    <t>St Mark UMC (Hamilton Square)</t>
  </si>
  <si>
    <t>St Mark's UMC (Montclair)</t>
  </si>
  <si>
    <t>St Mary Street UMC (Burlington)</t>
  </si>
  <si>
    <t>St Matthew's UMC (Delair)</t>
  </si>
  <si>
    <t>St Paul UMC (Mount Holly)</t>
  </si>
  <si>
    <t>St Paul UMC (Willingboro)</t>
  </si>
  <si>
    <t>St Paul's Centenary UMC (Newark)</t>
  </si>
  <si>
    <t>St Paul's UMC (Bay Head)</t>
  </si>
  <si>
    <t>St Paul's UMC (Brick)</t>
  </si>
  <si>
    <t>St Paul's UMC (Bridgeport)</t>
  </si>
  <si>
    <t>St Paul's UMC (New Gretna)</t>
  </si>
  <si>
    <t>St Paul's UMC (Ocean Grove)</t>
  </si>
  <si>
    <t>St Paul's UMC (Paulsboro)</t>
  </si>
  <si>
    <t>St Paul's UMC (West Deptford)</t>
  </si>
  <si>
    <t>St Peter's UMC (Ocean City)</t>
  </si>
  <si>
    <t>Stanhope UMC (Netcong)</t>
  </si>
  <si>
    <t>Stockholm UMC</t>
  </si>
  <si>
    <t>Strathmere UMC</t>
  </si>
  <si>
    <t>Succasunna UMC</t>
  </si>
  <si>
    <t>Summerfield UMC (Belvidere)</t>
  </si>
  <si>
    <t>Sussex UMC</t>
  </si>
  <si>
    <t>Tabernacle UMC</t>
  </si>
  <si>
    <t>Tabernacle UMC (Erma)</t>
  </si>
  <si>
    <t>Teabo UMC (Wharton)</t>
  </si>
  <si>
    <t>Teaneck UMC</t>
  </si>
  <si>
    <t>Tenafly UMC</t>
  </si>
  <si>
    <t>The Church of the Master UMC (Howell)</t>
  </si>
  <si>
    <t>Thiells Garnerville UMC</t>
  </si>
  <si>
    <t>Titusville UMC</t>
  </si>
  <si>
    <t>Totowa UMC</t>
  </si>
  <si>
    <t>Tranquility UMC</t>
  </si>
  <si>
    <t>Trinity UMC (Bordentown)</t>
  </si>
  <si>
    <t>Trinity UMC (Bridgeton)</t>
  </si>
  <si>
    <t>Trinity UMC (Clayton)</t>
  </si>
  <si>
    <t>Trinity UMC (Ewing)</t>
  </si>
  <si>
    <t>Trinity UMC (Gloucester City)</t>
  </si>
  <si>
    <t>Trinity UMC (Hackettstown)</t>
  </si>
  <si>
    <t>Trinity UMC (Highland Park)</t>
  </si>
  <si>
    <t>Trinity UMC (Jersey City)</t>
  </si>
  <si>
    <t>Trinity UMC (Margate)</t>
  </si>
  <si>
    <t>Trinity UMC (Marmora)</t>
  </si>
  <si>
    <t>Trinity UMC (Merchantville)</t>
  </si>
  <si>
    <t>Trinity UMC (Mullica Hill)</t>
  </si>
  <si>
    <t>Trinity UMC (Newark)</t>
  </si>
  <si>
    <t>Trinity UMC (Pennsville)</t>
  </si>
  <si>
    <t>Trinity UMC (Rahway)</t>
  </si>
  <si>
    <t>Trinity UMC (Roebling)</t>
  </si>
  <si>
    <t>Trinity UMC (South Dennis)</t>
  </si>
  <si>
    <t>Trinity UMC (Spotswood)</t>
  </si>
  <si>
    <t>Trinity UMC (Tansboro)</t>
  </si>
  <si>
    <t>Trinity UMC of So Amboy and Sayreville</t>
  </si>
  <si>
    <t>Tuckahoe UMC</t>
  </si>
  <si>
    <t>Turning Point UMC (Trenton)</t>
  </si>
  <si>
    <t>UMC at Absecon</t>
  </si>
  <si>
    <t>UMC at Demarest</t>
  </si>
  <si>
    <t>UMC at Milltown</t>
  </si>
  <si>
    <t>UMC at Mt Tabor</t>
  </si>
  <si>
    <t>UMC at New Brunswick</t>
  </si>
  <si>
    <t>UMC at Newfoundland</t>
  </si>
  <si>
    <t>UMC in Branchville</t>
  </si>
  <si>
    <t>UMC in Madison</t>
  </si>
  <si>
    <t>UMC in Orange</t>
  </si>
  <si>
    <t>UMC in Union</t>
  </si>
  <si>
    <t>UMC in Washington</t>
  </si>
  <si>
    <t>UMC in Wayne</t>
  </si>
  <si>
    <t>UMC of Franklin Lakes</t>
  </si>
  <si>
    <t>UMC of Lake Hopatcong</t>
  </si>
  <si>
    <t>UMC of Linden</t>
  </si>
  <si>
    <t>UMC of Little Falls</t>
  </si>
  <si>
    <t>UMC of Mantua</t>
  </si>
  <si>
    <t>UMC of Matamoras</t>
  </si>
  <si>
    <t>UMC of New City</t>
  </si>
  <si>
    <t>UMC of Parsippany</t>
  </si>
  <si>
    <t>UMC of Pearl River</t>
  </si>
  <si>
    <t>UMC of Red Bank</t>
  </si>
  <si>
    <t>UMC of Spring Valley</t>
  </si>
  <si>
    <t>UMC of Suffern</t>
  </si>
  <si>
    <t>UMC of Summit</t>
  </si>
  <si>
    <t>UMC of The Rockaways</t>
  </si>
  <si>
    <t>UMC of Waldwick</t>
  </si>
  <si>
    <t>Union Grove UMC (Pittsgrove)</t>
  </si>
  <si>
    <t>Union Village UMC (Berkeley Hgts)</t>
  </si>
  <si>
    <t>Unity in Christ Church UMC (Cherry Hill)</t>
  </si>
  <si>
    <t>Venice Park UMC (Atlantic City)</t>
  </si>
  <si>
    <t>Vernon UMC</t>
  </si>
  <si>
    <t>Vincent UMC (Nutley)</t>
  </si>
  <si>
    <t>Vincentown UMC</t>
  </si>
  <si>
    <t>Wall UMC (Spring Lake Hgts)</t>
  </si>
  <si>
    <t>Walnut Valley UMC (Blairstown)</t>
  </si>
  <si>
    <t>Wantage UMC (Sussex)</t>
  </si>
  <si>
    <t>Waretown UMC</t>
  </si>
  <si>
    <t>Warren Grove UMC</t>
  </si>
  <si>
    <t>Waterloo UMC (Stanhope)</t>
  </si>
  <si>
    <t>Wayside UMC (Ocean)</t>
  </si>
  <si>
    <t>Wesley UMC (Bayonne)</t>
  </si>
  <si>
    <t>Wesley UMC (Belleville)</t>
  </si>
  <si>
    <t>Wesley UMC (Columbus)</t>
  </si>
  <si>
    <t>Wesley UMC (Edison)</t>
  </si>
  <si>
    <t>Wesley UMC (Petersburg)</t>
  </si>
  <si>
    <t>Wesley UMC (Phillipsburg)</t>
  </si>
  <si>
    <t>Wesley UMC (South Plainfield)</t>
  </si>
  <si>
    <t>Wesley UMC (West Berlin)</t>
  </si>
  <si>
    <t>West Belmar UMC</t>
  </si>
  <si>
    <t>West Creek UMC</t>
  </si>
  <si>
    <t>West Farms UMC (Farmingdale)</t>
  </si>
  <si>
    <t>West Grove UMC (Neptune)</t>
  </si>
  <si>
    <t>West Park UMC (Bridgeton)</t>
  </si>
  <si>
    <t>West Side UMC (Hopatcong)</t>
  </si>
  <si>
    <t>West Side UMC (Millville)</t>
  </si>
  <si>
    <t>Westmont UMC</t>
  </si>
  <si>
    <t>Westville UMC</t>
  </si>
  <si>
    <t>Westwood UMC</t>
  </si>
  <si>
    <t>Weymouth UMC</t>
  </si>
  <si>
    <t>Wharton United Community at St. John's</t>
  </si>
  <si>
    <t>Whitehouse UMC</t>
  </si>
  <si>
    <t>Whiting UMC</t>
  </si>
  <si>
    <t>Willow Grove UMC (Pittsgrove)</t>
  </si>
  <si>
    <t>Winslow UMC</t>
  </si>
  <si>
    <t>Woodbridge UMC</t>
  </si>
  <si>
    <t>Zion UMC (Clarksboro)</t>
  </si>
  <si>
    <t>Zion UMC (Egg Harbor Twp)</t>
  </si>
  <si>
    <t>campus</t>
  </si>
  <si>
    <t>appointment_status_church</t>
  </si>
  <si>
    <t>CLERGY COMPENSATION &amp; EXPENSE REPORT</t>
  </si>
  <si>
    <t>Appointment Status By Church</t>
  </si>
  <si>
    <t xml:space="preserve">COMMISSION ON EQUITABLE COMPENSATION                                             </t>
  </si>
  <si>
    <t>Allowable Years with Service Increments</t>
  </si>
  <si>
    <t>75% Local Pastor*</t>
  </si>
  <si>
    <t>50% Local Pastor*</t>
  </si>
  <si>
    <t>25% Local Pastor*</t>
  </si>
  <si>
    <t>Elders/Deacons/FTLP receive Housing or Parsonage</t>
  </si>
  <si>
    <t>Click here-return to Report</t>
  </si>
  <si>
    <t>SERVICE INCREMENTS INCLUDED IN TABLE ABOVE</t>
  </si>
  <si>
    <t>MINIMUM SALARY SCHEDULE</t>
  </si>
  <si>
    <r>
      <t xml:space="preserve">Date Effective: </t>
    </r>
    <r>
      <rPr>
        <b/>
        <sz val="12"/>
        <color rgb="FFFF0000"/>
        <rFont val="Aptos Narrow"/>
        <family val="2"/>
        <scheme val="minor"/>
      </rPr>
      <t>(Required)</t>
    </r>
  </si>
  <si>
    <r>
      <t xml:space="preserve">District: </t>
    </r>
    <r>
      <rPr>
        <b/>
        <sz val="12"/>
        <color rgb="FFFF0000"/>
        <rFont val="Aptos Narrow"/>
        <family val="2"/>
        <scheme val="minor"/>
      </rPr>
      <t>(Required)</t>
    </r>
  </si>
  <si>
    <r>
      <t xml:space="preserve">Clergy Name:  </t>
    </r>
    <r>
      <rPr>
        <b/>
        <sz val="12"/>
        <color rgb="FFFF0000"/>
        <rFont val="Aptos Narrow"/>
        <family val="2"/>
        <scheme val="minor"/>
      </rPr>
      <t>(Required)</t>
    </r>
  </si>
  <si>
    <r>
      <t xml:space="preserve">Full Appointment Status:  </t>
    </r>
    <r>
      <rPr>
        <b/>
        <sz val="12"/>
        <color rgb="FFFF0000"/>
        <rFont val="Aptos Narrow"/>
        <family val="2"/>
        <scheme val="minor"/>
      </rPr>
      <t>(Required)</t>
    </r>
  </si>
  <si>
    <r>
      <t xml:space="preserve">Conference Relationship: </t>
    </r>
    <r>
      <rPr>
        <b/>
        <sz val="12"/>
        <color rgb="FFFF0000"/>
        <rFont val="Aptos Narrow"/>
        <family val="2"/>
        <scheme val="minor"/>
      </rPr>
      <t>(Required)</t>
    </r>
  </si>
  <si>
    <r>
      <t xml:space="preserve">Church A  </t>
    </r>
    <r>
      <rPr>
        <b/>
        <sz val="12"/>
        <color rgb="FFFF0000"/>
        <rFont val="Aptos Narrow"/>
        <family val="2"/>
        <scheme val="minor"/>
      </rPr>
      <t>(Required)</t>
    </r>
  </si>
  <si>
    <r>
      <t xml:space="preserve">Church B          </t>
    </r>
    <r>
      <rPr>
        <b/>
        <sz val="12"/>
        <rFont val="Aptos Narrow"/>
        <family val="2"/>
        <scheme val="minor"/>
      </rPr>
      <t>(If Applicable)</t>
    </r>
  </si>
  <si>
    <t>Church C         (If Applicable)</t>
  </si>
  <si>
    <t>Church D          (If Applicable)</t>
  </si>
  <si>
    <t>Church E             (If Applicable)</t>
  </si>
  <si>
    <r>
      <rPr>
        <b/>
        <sz val="11"/>
        <color rgb="FFFF0000"/>
        <rFont val="Aptos Narrow"/>
        <family val="2"/>
        <scheme val="minor"/>
      </rPr>
      <t>Health Insurance:</t>
    </r>
    <r>
      <rPr>
        <b/>
        <sz val="11"/>
        <color theme="1"/>
        <rFont val="Aptos Narrow"/>
        <family val="2"/>
        <scheme val="minor"/>
      </rPr>
      <t xml:space="preserve">  Churches will be billed directly for their pastor's health insurance premium responsibility. This is separate from the church's blended rate premium. Churches should deduct this amount from the pastor's salary. Doesn't change the church's blended rate. </t>
    </r>
  </si>
  <si>
    <r>
      <rPr>
        <b/>
        <sz val="11"/>
        <color rgb="FFFF0000"/>
        <rFont val="Aptos Narrow"/>
        <family val="2"/>
        <scheme val="minor"/>
      </rPr>
      <t>Dental &amp; Vision Plans:</t>
    </r>
    <r>
      <rPr>
        <b/>
        <sz val="11"/>
        <color theme="1"/>
        <rFont val="Aptos Narrow"/>
        <family val="2"/>
        <scheme val="minor"/>
      </rPr>
      <t xml:space="preserve">  Churches will be billed directly for their pastor's dental and/or vision plan enrollment. These plan costs are not the church's responsibility. Churches should deduct this amount from the pastor's salary. </t>
    </r>
  </si>
  <si>
    <r>
      <rPr>
        <b/>
        <sz val="11"/>
        <color rgb="FFFF0000"/>
        <rFont val="Aptos Narrow"/>
        <family val="2"/>
        <scheme val="minor"/>
      </rPr>
      <t xml:space="preserve">Health Savings Account (HSA): </t>
    </r>
    <r>
      <rPr>
        <b/>
        <sz val="11"/>
        <color theme="1"/>
        <rFont val="Aptos Narrow"/>
        <family val="2"/>
        <scheme val="minor"/>
      </rPr>
      <t xml:space="preserve"> If receiving an HSA, an additional personal contribution can be made to this account instead of to a separate FSA. See report instructions for information on max allowable contribution. HSA contributions are not the church's responsibility. Churches should deduct this amount from the pastor's salary. </t>
    </r>
  </si>
  <si>
    <r>
      <rPr>
        <b/>
        <u/>
        <sz val="12"/>
        <color theme="1"/>
        <rFont val="Aptos Narrow"/>
        <family val="2"/>
        <scheme val="minor"/>
      </rPr>
      <t>Signatures</t>
    </r>
    <r>
      <rPr>
        <b/>
        <sz val="12"/>
        <color theme="1"/>
        <rFont val="Aptos Narrow"/>
        <family val="2"/>
        <scheme val="minor"/>
      </rPr>
      <t>:</t>
    </r>
    <r>
      <rPr>
        <sz val="12"/>
        <color theme="1"/>
        <rFont val="Aptos Narrow"/>
        <family val="2"/>
        <scheme val="minor"/>
      </rPr>
      <t xml:space="preserve"> The undersigned parties state that the information shown on this report is true and correct. This report does not constitute an employment agreement and/or benefit plan between the Greater New Jersey Annual Conference and the clergy identified herein, but is only a report of the clergy's compensation and benefits paid by the clergy's charge or employing unit to or for the benefit of the clergy.</t>
    </r>
  </si>
  <si>
    <r>
      <rPr>
        <b/>
        <u/>
        <sz val="12"/>
        <color rgb="FFFF0000"/>
        <rFont val="Aptos Narrow"/>
        <family val="2"/>
        <scheme val="minor"/>
      </rPr>
      <t>Only enter the pastor's address below</t>
    </r>
    <r>
      <rPr>
        <b/>
        <sz val="12"/>
        <color rgb="FFFF0000"/>
        <rFont val="Aptos Narrow"/>
        <family val="2"/>
        <scheme val="minor"/>
      </rPr>
      <t xml:space="preserve">. The remaining information below will automatically populate based on the information entered on the Clergy Compensation Report above (pages 1-2). Either box A or B should be completed below, but NOT both. </t>
    </r>
  </si>
  <si>
    <t>CLERGY HOUSING EXCLUSION RESOLUTION</t>
  </si>
  <si>
    <r>
      <rPr>
        <b/>
        <sz val="11"/>
        <color theme="1"/>
        <rFont val="Aptos Narrow"/>
        <family val="2"/>
        <scheme val="minor"/>
      </rPr>
      <t xml:space="preserve">Health Insurance Premium for Conference Plan
</t>
    </r>
    <r>
      <rPr>
        <sz val="10.5"/>
        <rFont val="Aptos Narrow"/>
        <family val="2"/>
        <scheme val="minor"/>
      </rPr>
      <t>If serving full time, enter $27,100. If not full time, leave this line blank.</t>
    </r>
  </si>
  <si>
    <r>
      <rPr>
        <b/>
        <sz val="11"/>
        <color theme="1"/>
        <rFont val="Aptos Narrow"/>
        <family val="2"/>
        <scheme val="minor"/>
      </rPr>
      <t xml:space="preserve">Other Tax-Deferred IRS Section 403(b) Investment
</t>
    </r>
    <r>
      <rPr>
        <sz val="10.5"/>
        <color theme="1"/>
        <rFont val="Aptos Narrow"/>
        <family val="2"/>
        <scheme val="minor"/>
      </rPr>
      <t>Withheld from salary shown on line 4
Report in W-2 Box 12, Code E</t>
    </r>
  </si>
  <si>
    <r>
      <rPr>
        <b/>
        <sz val="11"/>
        <color theme="1"/>
        <rFont val="Aptos Narrow"/>
        <family val="2"/>
        <scheme val="minor"/>
      </rPr>
      <t xml:space="preserve">Tax-deferred Compass Contribution
</t>
    </r>
    <r>
      <rPr>
        <sz val="10.5"/>
        <color theme="1"/>
        <rFont val="Aptos Narrow"/>
        <family val="2"/>
        <scheme val="minor"/>
      </rPr>
      <t>If new employer or election, Contribution Election Form must also be completed. Withheld from salary shown on line 4.                                                                                                                                                                                     Report in W-2 Box 12, Code E</t>
    </r>
  </si>
  <si>
    <r>
      <rPr>
        <b/>
        <sz val="11"/>
        <color theme="1"/>
        <rFont val="Aptos Narrow"/>
        <family val="2"/>
        <scheme val="minor"/>
      </rPr>
      <t xml:space="preserve">Flexible Spending Account Contribution (FSA)
</t>
    </r>
    <r>
      <rPr>
        <sz val="10.5"/>
        <color theme="1"/>
        <rFont val="Aptos Narrow"/>
        <family val="2"/>
        <scheme val="minor"/>
      </rPr>
      <t xml:space="preserve">If offered by local church, max allowable contribution is $2,850. Withheld from salary on line 4. IRS Section 125 Cafeteria Plan.                                                                                                                                                                                     Report in W-2 Box 14       </t>
    </r>
  </si>
  <si>
    <r>
      <rPr>
        <b/>
        <sz val="11"/>
        <color theme="1"/>
        <rFont val="Aptos Narrow"/>
        <family val="2"/>
        <scheme val="minor"/>
      </rPr>
      <t xml:space="preserve">Health Savings Account Contribution (HSA)
</t>
    </r>
    <r>
      <rPr>
        <sz val="10.5"/>
        <color theme="1"/>
        <rFont val="Aptos Narrow"/>
        <family val="2"/>
        <scheme val="minor"/>
      </rPr>
      <t>If enrolled in either the H1500, H2000, H3000, contributions may be made up to IRS limits $4,150 (single), $8,300 (family). Withheld from salary on</t>
    </r>
    <r>
      <rPr>
        <sz val="10.5"/>
        <color rgb="FFFF0000"/>
        <rFont val="Aptos Narrow"/>
        <family val="2"/>
        <scheme val="minor"/>
      </rPr>
      <t xml:space="preserve"> </t>
    </r>
    <r>
      <rPr>
        <sz val="10.5"/>
        <rFont val="Aptos Narrow"/>
        <family val="2"/>
        <scheme val="minor"/>
      </rPr>
      <t>line 4</t>
    </r>
    <r>
      <rPr>
        <sz val="10.5"/>
        <color theme="1"/>
        <rFont val="Aptos Narrow"/>
        <family val="2"/>
        <scheme val="minor"/>
      </rPr>
      <t xml:space="preserve">.                                                                                                                                                                                     Report in W-2 Box 12       </t>
    </r>
  </si>
  <si>
    <r>
      <rPr>
        <b/>
        <sz val="11"/>
        <color theme="1"/>
        <rFont val="Aptos Narrow"/>
        <family val="2"/>
        <scheme val="minor"/>
      </rPr>
      <t xml:space="preserve">Tax-paid Compass Contribution
</t>
    </r>
    <r>
      <rPr>
        <sz val="10.5"/>
        <color theme="1"/>
        <rFont val="Aptos Narrow"/>
        <family val="2"/>
        <scheme val="minor"/>
      </rPr>
      <t xml:space="preserve">If new employer or election, Contribution Election Form must also be completed. Withheld from salary shown on line 4.                                            
</t>
    </r>
  </si>
  <si>
    <r>
      <rPr>
        <b/>
        <sz val="11"/>
        <color theme="1"/>
        <rFont val="Aptos Narrow"/>
        <family val="2"/>
        <scheme val="minor"/>
      </rPr>
      <t xml:space="preserve">Expenses </t>
    </r>
    <r>
      <rPr>
        <b/>
        <sz val="11"/>
        <rFont val="Aptos Narrow"/>
        <family val="2"/>
        <scheme val="minor"/>
      </rPr>
      <t>paid directly by the local church not included in
lines 1-9</t>
    </r>
    <r>
      <rPr>
        <sz val="10.5"/>
        <rFont val="Aptos Narrow"/>
        <family val="2"/>
        <scheme val="minor"/>
      </rPr>
      <t xml:space="preserve"> (See instructions for directions/examples)</t>
    </r>
  </si>
  <si>
    <r>
      <rPr>
        <b/>
        <sz val="11"/>
        <rFont val="Aptos Narrow"/>
        <family val="2"/>
        <scheme val="minor"/>
      </rPr>
      <t>Cash Paid to Clergy</t>
    </r>
    <r>
      <rPr>
        <b/>
        <sz val="10.5"/>
        <rFont val="Aptos Narrow"/>
        <family val="2"/>
        <scheme val="minor"/>
      </rPr>
      <t xml:space="preserve"> </t>
    </r>
    <r>
      <rPr>
        <sz val="10.5"/>
        <rFont val="Aptos Narrow"/>
        <family val="2"/>
        <scheme val="minor"/>
      </rPr>
      <t>(Line 4 minus lines 5, 6, 9)</t>
    </r>
  </si>
  <si>
    <r>
      <rPr>
        <b/>
        <sz val="11"/>
        <color theme="1"/>
        <rFont val="Aptos Narrow"/>
        <family val="2"/>
        <scheme val="minor"/>
      </rPr>
      <t>Total Federal Taxable Salary</t>
    </r>
    <r>
      <rPr>
        <sz val="11"/>
        <color theme="1"/>
        <rFont val="Aptos Narrow"/>
        <family val="2"/>
        <scheme val="minor"/>
      </rPr>
      <t xml:space="preserve"> </t>
    </r>
    <r>
      <rPr>
        <sz val="10.5"/>
        <rFont val="Aptos Narrow"/>
        <family val="2"/>
        <scheme val="minor"/>
      </rPr>
      <t>(Line 4 minus line 8)</t>
    </r>
  </si>
  <si>
    <r>
      <rPr>
        <b/>
        <sz val="11"/>
        <color theme="1"/>
        <rFont val="Aptos Narrow"/>
        <family val="2"/>
        <scheme val="minor"/>
      </rPr>
      <t>Total Salary</t>
    </r>
    <r>
      <rPr>
        <sz val="10.5"/>
        <color theme="1"/>
        <rFont val="Aptos Narrow"/>
        <family val="2"/>
        <scheme val="minor"/>
      </rPr>
      <t xml:space="preserve"> (</t>
    </r>
    <r>
      <rPr>
        <sz val="10.5"/>
        <rFont val="Aptos Narrow"/>
        <family val="2"/>
        <scheme val="minor"/>
      </rPr>
      <t>Lines 8 plus 12; must equal line 4)</t>
    </r>
  </si>
  <si>
    <r>
      <rPr>
        <b/>
        <sz val="11"/>
        <rFont val="Aptos Narrow"/>
        <family val="2"/>
        <scheme val="minor"/>
      </rPr>
      <t xml:space="preserve">UM Personal Investment Plan (UMPIP)
</t>
    </r>
    <r>
      <rPr>
        <sz val="10.5"/>
        <rFont val="Aptos Narrow"/>
        <family val="2"/>
        <scheme val="minor"/>
      </rPr>
      <t xml:space="preserve">Only available for 1/4 time pastors no longer eligible for Compass.
Represents church's contribution. (Multiply line 17 by 13.6%) </t>
    </r>
  </si>
  <si>
    <r>
      <rPr>
        <b/>
        <sz val="11"/>
        <rFont val="Aptos Narrow"/>
        <family val="2"/>
        <scheme val="minor"/>
      </rPr>
      <t xml:space="preserve">Compass - Matching Contribution
</t>
    </r>
    <r>
      <rPr>
        <sz val="10.5"/>
        <rFont val="Aptos Narrow"/>
        <family val="2"/>
        <scheme val="minor"/>
      </rPr>
      <t>Compass is available for FT, 3/4, and 1/2 time clergy.
(Multiply</t>
    </r>
    <r>
      <rPr>
        <sz val="10.5"/>
        <color rgb="FFFF0000"/>
        <rFont val="Aptos Narrow"/>
        <family val="2"/>
        <scheme val="minor"/>
      </rPr>
      <t xml:space="preserve"> </t>
    </r>
    <r>
      <rPr>
        <sz val="10.5"/>
        <rFont val="Aptos Narrow"/>
        <family val="2"/>
        <scheme val="minor"/>
      </rPr>
      <t>line 17 by 4.0%)</t>
    </r>
    <r>
      <rPr>
        <sz val="10.5"/>
        <color rgb="FFFF0000"/>
        <rFont val="Aptos Narrow"/>
        <family val="2"/>
        <scheme val="minor"/>
      </rPr>
      <t xml:space="preserve"> </t>
    </r>
  </si>
  <si>
    <r>
      <rPr>
        <b/>
        <sz val="11"/>
        <rFont val="Aptos Narrow"/>
        <family val="2"/>
        <scheme val="minor"/>
      </rPr>
      <t xml:space="preserve">Compass - Required Contributions
</t>
    </r>
    <r>
      <rPr>
        <sz val="10.5"/>
        <rFont val="Aptos Narrow"/>
        <family val="2"/>
        <scheme val="minor"/>
      </rPr>
      <t>Compass is available for FT, 3/4, and 1/2 time clergy.
(Multiply</t>
    </r>
    <r>
      <rPr>
        <sz val="10.5"/>
        <color rgb="FFFF0000"/>
        <rFont val="Aptos Narrow"/>
        <family val="2"/>
        <scheme val="minor"/>
      </rPr>
      <t xml:space="preserve"> </t>
    </r>
    <r>
      <rPr>
        <sz val="10.5"/>
        <rFont val="Aptos Narrow"/>
        <family val="2"/>
        <scheme val="minor"/>
      </rPr>
      <t>line 17 by 5.47%)</t>
    </r>
    <r>
      <rPr>
        <sz val="10.5"/>
        <color rgb="FFFF0000"/>
        <rFont val="Aptos Narrow"/>
        <family val="2"/>
        <scheme val="minor"/>
      </rPr>
      <t xml:space="preserve"> </t>
    </r>
  </si>
  <si>
    <r>
      <rPr>
        <b/>
        <sz val="11"/>
        <color theme="1"/>
        <rFont val="Aptos Narrow"/>
        <family val="2"/>
        <scheme val="minor"/>
      </rPr>
      <t>Total Reimbursed Business Expenses</t>
    </r>
    <r>
      <rPr>
        <sz val="10"/>
        <color theme="1"/>
        <rFont val="Aptos Narrow"/>
        <family val="2"/>
        <scheme val="minor"/>
      </rPr>
      <t xml:space="preserve"> </t>
    </r>
    <r>
      <rPr>
        <sz val="10.5"/>
        <color theme="1"/>
        <rFont val="Aptos Narrow"/>
        <family val="2"/>
        <scheme val="minor"/>
      </rPr>
      <t>(Total of lines 25, 26, 27)</t>
    </r>
  </si>
  <si>
    <t>Total of lines 13, 24, 28</t>
  </si>
  <si>
    <r>
      <t xml:space="preserve">Number of Church Appointments </t>
    </r>
    <r>
      <rPr>
        <sz val="11"/>
        <color theme="1"/>
        <rFont val="Aptos Narrow"/>
        <family val="2"/>
        <scheme val="minor"/>
      </rPr>
      <t>(Based on entered Salaries)</t>
    </r>
  </si>
  <si>
    <r>
      <rPr>
        <b/>
        <sz val="11"/>
        <color theme="1"/>
        <rFont val="Aptos Narrow"/>
        <family val="2"/>
        <scheme val="minor"/>
      </rPr>
      <t xml:space="preserve">Is a parsonage provided for clergy in ANY of the churches appointed to?
</t>
    </r>
    <r>
      <rPr>
        <sz val="10.5"/>
        <color theme="1"/>
        <rFont val="Aptos Narrow"/>
        <family val="2"/>
        <scheme val="minor"/>
      </rPr>
      <t xml:space="preserve">If </t>
    </r>
    <r>
      <rPr>
        <b/>
        <sz val="10.5"/>
        <rFont val="Aptos Narrow"/>
        <family val="2"/>
        <scheme val="minor"/>
      </rPr>
      <t>YES</t>
    </r>
    <r>
      <rPr>
        <sz val="10.5"/>
        <color theme="1"/>
        <rFont val="Aptos Narrow"/>
        <family val="2"/>
        <scheme val="minor"/>
      </rPr>
      <t xml:space="preserve"> - enter </t>
    </r>
    <r>
      <rPr>
        <b/>
        <sz val="10.5"/>
        <color theme="1"/>
        <rFont val="Aptos Narrow"/>
        <family val="2"/>
        <scheme val="minor"/>
      </rPr>
      <t>X</t>
    </r>
    <r>
      <rPr>
        <sz val="10.5"/>
        <color theme="1"/>
        <rFont val="Aptos Narrow"/>
        <family val="2"/>
        <scheme val="minor"/>
      </rPr>
      <t xml:space="preserve"> under the church providing a parsonage
If </t>
    </r>
    <r>
      <rPr>
        <b/>
        <sz val="10.5"/>
        <rFont val="Aptos Narrow"/>
        <family val="2"/>
        <scheme val="minor"/>
      </rPr>
      <t>NO</t>
    </r>
    <r>
      <rPr>
        <sz val="10.5"/>
        <color theme="1"/>
        <rFont val="Aptos Narrow"/>
        <family val="2"/>
        <scheme val="minor"/>
      </rPr>
      <t xml:space="preserve"> - leave this line blank. 
</t>
    </r>
    <r>
      <rPr>
        <b/>
        <sz val="10.5"/>
        <color theme="1"/>
        <rFont val="Aptos Narrow"/>
        <family val="2"/>
        <scheme val="minor"/>
      </rPr>
      <t xml:space="preserve">NOTE: </t>
    </r>
    <r>
      <rPr>
        <sz val="10.5"/>
        <color theme="1"/>
        <rFont val="Aptos Narrow"/>
        <family val="2"/>
        <scheme val="minor"/>
      </rPr>
      <t xml:space="preserve">In Compass, the Parsonage value </t>
    </r>
    <r>
      <rPr>
        <b/>
        <sz val="10.5"/>
        <color theme="1"/>
        <rFont val="Aptos Narrow"/>
        <family val="2"/>
        <scheme val="minor"/>
      </rPr>
      <t>MUST</t>
    </r>
    <r>
      <rPr>
        <sz val="10.5"/>
        <color theme="1"/>
        <rFont val="Aptos Narrow"/>
        <family val="2"/>
        <scheme val="minor"/>
      </rPr>
      <t xml:space="preserve"> be split to all churches, regardless of which one provides the parsonage.</t>
    </r>
    <r>
      <rPr>
        <b/>
        <sz val="10.5"/>
        <color theme="1"/>
        <rFont val="Aptos Narrow"/>
        <family val="2"/>
        <scheme val="minor"/>
      </rPr>
      <t xml:space="preserve"> The parsonage value split is proportional to the salary split.</t>
    </r>
  </si>
  <si>
    <r>
      <t xml:space="preserve">Church Salary </t>
    </r>
    <r>
      <rPr>
        <sz val="10"/>
        <color theme="1"/>
        <rFont val="Aptos Narrow"/>
        <family val="2"/>
        <scheme val="minor"/>
      </rPr>
      <t>(Total cash amount. Should also include</t>
    </r>
    <r>
      <rPr>
        <b/>
        <sz val="10"/>
        <color theme="1"/>
        <rFont val="Aptos Narrow"/>
        <family val="2"/>
        <scheme val="minor"/>
      </rPr>
      <t xml:space="preserve"> all grant funding</t>
    </r>
    <r>
      <rPr>
        <sz val="10"/>
        <color theme="1"/>
        <rFont val="Aptos Narrow"/>
        <family val="2"/>
        <scheme val="minor"/>
      </rPr>
      <t>.)</t>
    </r>
  </si>
  <si>
    <r>
      <rPr>
        <b/>
        <sz val="11"/>
        <color rgb="FFFF0000"/>
        <rFont val="Aptos Narrow"/>
        <family val="2"/>
        <scheme val="minor"/>
      </rPr>
      <t>Minimum Salary:</t>
    </r>
    <r>
      <rPr>
        <b/>
        <sz val="11"/>
        <color theme="1"/>
        <rFont val="Aptos Narrow"/>
        <family val="2"/>
        <scheme val="minor"/>
      </rPr>
      <t xml:space="preserve"> Clergy in full connection $61,400;  Provisional/Associate Member $57,100;  Full Time Local Pastor $54,000
($300 increase per year of full time service) - If unsure how to calculate, check the Compensation Report Instructions (link at the top). </t>
    </r>
  </si>
  <si>
    <t>Total Grants</t>
  </si>
  <si>
    <t>Church Budget Impact (Line 29 minus Total Grants)</t>
  </si>
  <si>
    <r>
      <t xml:space="preserve">Taxable Salary Items </t>
    </r>
    <r>
      <rPr>
        <sz val="11"/>
        <rFont val="Aptos Narrow"/>
        <family val="2"/>
        <scheme val="minor"/>
      </rPr>
      <t>(Report Lines 9 and 10 in W-2 Box 1)</t>
    </r>
  </si>
  <si>
    <r>
      <t xml:space="preserve">THEREFORE, BE IT RESOLVED that the above named Pastor is provided the rent-free use of housing and the value of the housing is excluded from income tax under Section 107 (Line 14 of the Clergy Compensation Report should have an X). BE IT FURTHER RESOLVED that the Administrative Board/Council or Church Conference of the above named charge hereby designates the amount listed above (this figure matches Line 7 of the Clergy Compensation Report) for the date effective year as a </t>
    </r>
    <r>
      <rPr>
        <b/>
        <sz val="12"/>
        <color theme="1"/>
        <rFont val="Aptos Narrow"/>
        <family val="2"/>
        <scheme val="minor"/>
      </rPr>
      <t>housing exclusion</t>
    </r>
    <r>
      <rPr>
        <sz val="12"/>
        <color theme="1"/>
        <rFont val="Aptos Narrow"/>
        <family val="2"/>
        <scheme val="minor"/>
      </rPr>
      <t xml:space="preserve"> for this Pastor whose residence is located at the above address.</t>
    </r>
  </si>
  <si>
    <r>
      <t xml:space="preserve">THEREFORE, BE IT RESOLVED that in lieu of church-provided housing, the charge or church will pay annually a cash </t>
    </r>
    <r>
      <rPr>
        <b/>
        <sz val="12"/>
        <color theme="1"/>
        <rFont val="Aptos Narrow"/>
        <family val="2"/>
        <scheme val="minor"/>
      </rPr>
      <t>housing allowance</t>
    </r>
    <r>
      <rPr>
        <sz val="12"/>
        <color theme="1"/>
        <rFont val="Aptos Narrow"/>
        <family val="2"/>
        <scheme val="minor"/>
      </rPr>
      <t xml:space="preserve"> in the amount listed above (this figure matches Line 3 of the Clergy Compensation Report), in addition to salary, to provide housing for the minister and family. BE IT FURTHER RESOLVED that the Administrative Board/Council or Church Conference of the above named charge hereby designates the amount listed above (</t>
    </r>
    <r>
      <rPr>
        <u/>
        <sz val="12"/>
        <color theme="1"/>
        <rFont val="Aptos Narrow"/>
        <family val="2"/>
        <scheme val="minor"/>
      </rPr>
      <t>set high enough to include the cash housing allowance if provided</t>
    </r>
    <r>
      <rPr>
        <sz val="12"/>
        <color theme="1"/>
        <rFont val="Aptos Narrow"/>
        <family val="2"/>
        <scheme val="minor"/>
      </rPr>
      <t xml:space="preserve">; this figure matches Line 7 of the Clergy Compensation Report) for the date effective year as a </t>
    </r>
    <r>
      <rPr>
        <b/>
        <sz val="12"/>
        <color theme="1"/>
        <rFont val="Aptos Narrow"/>
        <family val="2"/>
        <scheme val="minor"/>
      </rPr>
      <t>housing</t>
    </r>
    <r>
      <rPr>
        <sz val="12"/>
        <color theme="1"/>
        <rFont val="Aptos Narrow"/>
        <family val="2"/>
        <scheme val="minor"/>
      </rPr>
      <t xml:space="preserve"> </t>
    </r>
    <r>
      <rPr>
        <b/>
        <sz val="12"/>
        <color theme="1"/>
        <rFont val="Aptos Narrow"/>
        <family val="2"/>
        <scheme val="minor"/>
      </rPr>
      <t>exclusion</t>
    </r>
    <r>
      <rPr>
        <sz val="12"/>
        <color theme="1"/>
        <rFont val="Aptos Narrow"/>
        <family val="2"/>
        <scheme val="minor"/>
      </rPr>
      <t xml:space="preserve"> for this Pastor, whose residence is located at the above address.</t>
    </r>
  </si>
  <si>
    <r>
      <t>Reimbursed Business Expenses (Non-Taxable)</t>
    </r>
    <r>
      <rPr>
        <sz val="11"/>
        <color indexed="8"/>
        <rFont val="Aptos Narrow"/>
        <family val="2"/>
        <scheme val="minor"/>
      </rPr>
      <t xml:space="preserve"> - </t>
    </r>
    <r>
      <rPr>
        <sz val="11"/>
        <rFont val="Aptos Narrow"/>
        <family val="2"/>
        <scheme val="minor"/>
      </rPr>
      <t>Operating expenses of the church, not salary.</t>
    </r>
    <r>
      <rPr>
        <b/>
        <sz val="11"/>
        <color theme="1"/>
        <rFont val="Aptos Narrow"/>
        <family val="2"/>
        <scheme val="minor"/>
      </rPr>
      <t xml:space="preserve"> </t>
    </r>
    <r>
      <rPr>
        <sz val="11"/>
        <color theme="1"/>
        <rFont val="Aptos Narrow"/>
        <family val="2"/>
        <scheme val="minor"/>
      </rPr>
      <t>Full time pastors receive minimum $2,500</t>
    </r>
    <r>
      <rPr>
        <b/>
        <sz val="11"/>
        <color theme="1"/>
        <rFont val="Aptos Narrow"/>
        <family val="2"/>
        <scheme val="minor"/>
      </rPr>
      <t>.</t>
    </r>
  </si>
  <si>
    <r>
      <rPr>
        <b/>
        <sz val="11"/>
        <color theme="1"/>
        <rFont val="Aptos Narrow"/>
        <family val="2"/>
        <scheme val="minor"/>
      </rPr>
      <t>Total Benefit Costs</t>
    </r>
    <r>
      <rPr>
        <sz val="10.5"/>
        <color theme="1"/>
        <rFont val="Aptos Narrow"/>
        <family val="2"/>
        <scheme val="minor"/>
      </rPr>
      <t xml:space="preserve"> (Total of lines 16-23, Excluding line 17)</t>
    </r>
  </si>
  <si>
    <r>
      <rPr>
        <b/>
        <sz val="11"/>
        <color theme="1"/>
        <rFont val="Aptos Narrow"/>
        <family val="2"/>
        <scheme val="minor"/>
      </rPr>
      <t xml:space="preserve">Parsonage value for pension purposes
</t>
    </r>
    <r>
      <rPr>
        <sz val="10.5"/>
        <rFont val="Aptos Narrow"/>
        <family val="2"/>
        <scheme val="minor"/>
      </rPr>
      <t>If a parsonage is provided, line 14 has an X.
(Multiply the total provided cash salary in line 14 by 35%; this value cannot be lower than $10,000)</t>
    </r>
  </si>
  <si>
    <t>TOTAL CASH           SALARY                               Line 1</t>
  </si>
  <si>
    <r>
      <rPr>
        <b/>
        <sz val="11"/>
        <color rgb="FFFF0000"/>
        <rFont val="Aptos Narrow"/>
        <family val="2"/>
        <scheme val="minor"/>
      </rPr>
      <t xml:space="preserve">Flexible Spending Account (FSA): </t>
    </r>
    <r>
      <rPr>
        <b/>
        <sz val="11"/>
        <color theme="1"/>
        <rFont val="Aptos Narrow"/>
        <family val="2"/>
        <scheme val="minor"/>
      </rPr>
      <t xml:space="preserve"> Contributions to a FSA can be done through HealthFlex Exchange or the church's payroll company (See instructions for more information). Contributions are not the church's responsibility. Churches should deduct this amount from the pastor's salary. Regardless of selecting FSA through the HealthFlex Exchange or through the church’s payroll company, please report the amount on this line.  </t>
    </r>
  </si>
  <si>
    <t>Beacon UMC</t>
  </si>
  <si>
    <t>7071-MC</t>
  </si>
  <si>
    <t>El Mesias UMC (Fair Haven)</t>
  </si>
  <si>
    <t>First UMC of Union City</t>
  </si>
  <si>
    <t>AL - Administrative Location</t>
  </si>
  <si>
    <t>BH - Bishop</t>
  </si>
  <si>
    <t>DC - Deaconess</t>
  </si>
  <si>
    <t>DR - Retired Diaconal Minister</t>
  </si>
  <si>
    <t>FD - Deacon in full connection</t>
  </si>
  <si>
    <t>FE - Elder in full connection</t>
  </si>
  <si>
    <t>FL - Full time Local Pastor</t>
  </si>
  <si>
    <t>FLR - Full time Local Pastor Retired</t>
  </si>
  <si>
    <t>HL - Honorable Location</t>
  </si>
  <si>
    <t>HR - Honorable Location Retired</t>
  </si>
  <si>
    <t>HM - Home Missioner</t>
  </si>
  <si>
    <t>OA - Associate Member of other Annual Conference</t>
  </si>
  <si>
    <t>OD - Deacon member of other Annual Conference</t>
  </si>
  <si>
    <t>OFD - Full Connection Deacon of other Annual Conference</t>
  </si>
  <si>
    <t>OPD - Provisional Deacon of other Annual Conference</t>
  </si>
  <si>
    <t>OPE - Provisional Elder of other Annual Conference</t>
  </si>
  <si>
    <t>OFE - Full Connection Elder of other Annual Conference</t>
  </si>
  <si>
    <t>OE - Elder member of other Annual Conference</t>
  </si>
  <si>
    <t>OF - Full Member of other denomination</t>
  </si>
  <si>
    <t>OL - Local Pastors on Loan</t>
  </si>
  <si>
    <t>OM - Other Methodist Denominations</t>
  </si>
  <si>
    <t>OMR - Retired Other Methodist Denominations</t>
  </si>
  <si>
    <t>OP - Provisional member of other Annual Conference</t>
  </si>
  <si>
    <t>OR - Retired member of other Annual Conference</t>
  </si>
  <si>
    <t>ORE - Retired Elder of other Annual Conference</t>
  </si>
  <si>
    <t>ORD - Retired Deacon of other Annual Conference</t>
  </si>
  <si>
    <t>PL - Part time Local Pastor</t>
  </si>
  <si>
    <t>PLR - Part time Local Pastor Retired</t>
  </si>
  <si>
    <t>RD - Retired Deacon in Full connection</t>
  </si>
  <si>
    <t>RDC - Retired Deaconess</t>
  </si>
  <si>
    <t>RE - Retired Full Elder</t>
  </si>
  <si>
    <t>RHM - Retired Home Missioner</t>
  </si>
  <si>
    <t>SL - Student Local Pastor</t>
  </si>
  <si>
    <t>SY - Other Supplies</t>
  </si>
  <si>
    <r>
      <t xml:space="preserve">A. If you are serving 3/4 or 1/2 time as a SL or PL, enter </t>
    </r>
    <r>
      <rPr>
        <b/>
        <sz val="11"/>
        <rFont val="Aptos Narrow"/>
        <family val="2"/>
        <scheme val="minor"/>
      </rPr>
      <t>X</t>
    </r>
    <r>
      <rPr>
        <b/>
        <sz val="11"/>
        <color theme="1"/>
        <rFont val="Aptos Narrow"/>
        <family val="2"/>
        <scheme val="minor"/>
      </rPr>
      <t xml:space="preserve"> here</t>
    </r>
  </si>
  <si>
    <r>
      <t xml:space="preserve">Housing Allowance
</t>
    </r>
    <r>
      <rPr>
        <sz val="10.5"/>
        <color theme="1"/>
        <rFont val="Aptos Narrow"/>
        <family val="2"/>
        <scheme val="minor"/>
      </rPr>
      <t xml:space="preserve">Paid in addition to cash salary. Recommended to exclude this amount in </t>
    </r>
    <r>
      <rPr>
        <sz val="10.5"/>
        <rFont val="Aptos Narrow"/>
        <family val="2"/>
        <scheme val="minor"/>
      </rPr>
      <t>line 7</t>
    </r>
    <r>
      <rPr>
        <sz val="10.5"/>
        <color theme="1"/>
        <rFont val="Aptos Narrow"/>
        <family val="2"/>
        <scheme val="minor"/>
      </rPr>
      <t xml:space="preserve"> if receiving this allowance.  </t>
    </r>
    <r>
      <rPr>
        <b/>
        <sz val="10.5"/>
        <color theme="1"/>
        <rFont val="Aptos Narrow"/>
        <family val="2"/>
        <scheme val="minor"/>
      </rPr>
      <t>Should only be used in lieu of a parsonage being provided.</t>
    </r>
  </si>
  <si>
    <r>
      <rPr>
        <b/>
        <sz val="11"/>
        <rFont val="Aptos Narrow"/>
        <family val="2"/>
        <scheme val="minor"/>
      </rPr>
      <t xml:space="preserve">Comprehensive Protection Plan (CPP)
</t>
    </r>
    <r>
      <rPr>
        <sz val="10.5"/>
        <rFont val="Aptos Narrow"/>
        <family val="2"/>
        <scheme val="minor"/>
      </rPr>
      <t xml:space="preserve">Only available for FT and 3/4 time clergy. Not available for PL or SL.
(Multiply line 17 by 3.3%)   </t>
    </r>
    <r>
      <rPr>
        <sz val="10.5"/>
        <color rgb="FFFF0000"/>
        <rFont val="Aptos Narrow"/>
        <family val="2"/>
        <scheme val="minor"/>
      </rPr>
      <t xml:space="preserve">                                                           </t>
    </r>
  </si>
  <si>
    <r>
      <rPr>
        <b/>
        <sz val="11"/>
        <rFont val="Aptos Narrow"/>
        <family val="2"/>
        <scheme val="minor"/>
      </rPr>
      <t xml:space="preserve">UMLife Options
</t>
    </r>
    <r>
      <rPr>
        <sz val="10.5"/>
        <rFont val="Aptos Narrow"/>
        <family val="2"/>
        <scheme val="minor"/>
      </rPr>
      <t xml:space="preserve">Only available for 1/2 time clergy. Not available for PL or SL.
(Multiply line 17 by 2.2%)  </t>
    </r>
    <r>
      <rPr>
        <sz val="10.5"/>
        <color rgb="FFFF0000"/>
        <rFont val="Aptos Narrow"/>
        <family val="2"/>
        <scheme val="minor"/>
      </rPr>
      <t xml:space="preserve">                   </t>
    </r>
  </si>
  <si>
    <r>
      <rPr>
        <b/>
        <sz val="11"/>
        <color theme="1"/>
        <rFont val="Aptos Narrow"/>
        <family val="2"/>
        <scheme val="minor"/>
      </rPr>
      <t>Total Salary</t>
    </r>
    <r>
      <rPr>
        <sz val="11"/>
        <color theme="1"/>
        <rFont val="Aptos Narrow"/>
        <family val="2"/>
        <scheme val="minor"/>
      </rPr>
      <t xml:space="preserve"> </t>
    </r>
    <r>
      <rPr>
        <sz val="10"/>
        <color theme="1"/>
        <rFont val="Aptos Narrow"/>
        <family val="2"/>
        <scheme val="minor"/>
      </rPr>
      <t xml:space="preserve">(Total of lines 1-3) </t>
    </r>
  </si>
  <si>
    <t>SERVICE INCREMENTS = $300 PER YEAR</t>
  </si>
  <si>
    <t>Clergy with multiple appointments MUST enter all appointment salary information into a single Compensation Report form.</t>
  </si>
  <si>
    <t>For dropdown sections, click on the cell and a dropdown arrow will appear to the right of the cell.</t>
  </si>
  <si>
    <t>tax_deferred_compass</t>
  </si>
  <si>
    <r>
      <rPr>
        <b/>
        <sz val="11"/>
        <color theme="1"/>
        <rFont val="Aptos Narrow"/>
        <family val="2"/>
        <scheme val="minor"/>
      </rPr>
      <t>Total Tax Sheltered Salary</t>
    </r>
    <r>
      <rPr>
        <sz val="10.5"/>
        <color theme="1"/>
        <rFont val="Aptos Narrow"/>
        <family val="2"/>
        <scheme val="minor"/>
      </rPr>
      <t xml:space="preserve"> (</t>
    </r>
    <r>
      <rPr>
        <sz val="10.5"/>
        <rFont val="Aptos Narrow"/>
        <family val="2"/>
        <scheme val="minor"/>
      </rPr>
      <t>Total of lines 5-7)</t>
    </r>
  </si>
  <si>
    <t>tax_paid_compass</t>
  </si>
  <si>
    <t>serving_line A</t>
  </si>
  <si>
    <t>serving_line B</t>
  </si>
  <si>
    <t>serving_line C</t>
  </si>
  <si>
    <t>serving_line D</t>
  </si>
  <si>
    <t>serving_line E</t>
  </si>
  <si>
    <t>compass_required_contr</t>
  </si>
  <si>
    <t>compass_matching_contr</t>
  </si>
  <si>
    <t>other_non-tax_ben</t>
  </si>
  <si>
    <t>eq_comp_grant</t>
  </si>
  <si>
    <t>salary_supp_grant</t>
  </si>
  <si>
    <t>total_grant</t>
  </si>
  <si>
    <t>ch_budg_impact</t>
  </si>
  <si>
    <t>B. If your conference relationship is DM  DR  OR  RA  RD  RE  RL  OMR  RP  SY  LM  CP, enter X here</t>
  </si>
  <si>
    <r>
      <t xml:space="preserve">OPTIONAL: Grants Break-Out Section - </t>
    </r>
    <r>
      <rPr>
        <sz val="11"/>
        <color theme="1"/>
        <rFont val="Aptos Narrow"/>
        <family val="2"/>
        <scheme val="minor"/>
      </rPr>
      <t>You may enter individual grant amounts below, the values are subtracted from the Totals of line 29 to display salary impact of church budget.</t>
    </r>
    <r>
      <rPr>
        <b/>
        <sz val="11"/>
        <color theme="1"/>
        <rFont val="Aptos Narrow"/>
        <family val="2"/>
        <scheme val="minor"/>
      </rPr>
      <t xml:space="preserve">                                                                                  This section is informational only, it is not used in any calculations in the previous line items above.</t>
    </r>
  </si>
  <si>
    <t>If you would like to waive Compass and UMPIP, regardless of the above lines. Enter X here. (Not available for Full Time)
Removes lines 18, 19, and 21.
Please fill out a Compass Waiver form in addition to this form.</t>
  </si>
  <si>
    <r>
      <rPr>
        <b/>
        <sz val="11"/>
        <color theme="1"/>
        <rFont val="Aptos Narrow"/>
        <family val="2"/>
        <scheme val="minor"/>
      </rPr>
      <t xml:space="preserve">Pension Plan Compensation
</t>
    </r>
    <r>
      <rPr>
        <sz val="10.5"/>
        <color theme="1"/>
        <rFont val="Aptos Narrow"/>
        <family val="2"/>
        <scheme val="minor"/>
      </rPr>
      <t>This line will always populate, it reflects Plan Compensation and is used for Pension if eligible.</t>
    </r>
    <r>
      <rPr>
        <b/>
        <sz val="11"/>
        <color theme="1"/>
        <rFont val="Aptos Narrow"/>
        <family val="2"/>
        <scheme val="minor"/>
      </rPr>
      <t xml:space="preserve">
</t>
    </r>
    <r>
      <rPr>
        <sz val="10.5"/>
        <rFont val="Aptos Narrow"/>
        <family val="2"/>
        <scheme val="minor"/>
      </rPr>
      <t>If a parsonage is provided, this equals line 1 plus 15.
If a parsonage is not provided, this equals line 13.</t>
    </r>
  </si>
  <si>
    <t>Full Member (Elder/Deacon)</t>
  </si>
  <si>
    <t>Provisional, Associate, Commissioned Member</t>
  </si>
  <si>
    <t>Full Time Local Pastor</t>
  </si>
  <si>
    <t>All full time pastors shall be provided with a parsonage or a housing allowance as part of their total compensation package.</t>
  </si>
  <si>
    <t>Less than full time clergy are not guaranteed housing or a parsonage and have no mandated minimums. The figures to the left are only a reference point for salary discussions.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</si>
</sst>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_);_(* \(#,##0\);_(* &quot;-&quot;??_);_(@_)"/>
  </numFmts>
  <fonts count="40"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u/>
      <sz val="11"/>
      <color theme="10"/>
      <name val="Aptos Narrow"/>
      <family val="2"/>
      <scheme val="minor"/>
    </font>
    <font>
      <b/>
      <sz val="12"/>
      <color theme="1"/>
      <name val="Aptos Narrow"/>
      <family val="2"/>
      <scheme val="minor"/>
    </font>
    <font>
      <sz val="12"/>
      <color theme="1"/>
      <name val="Aptos Narrow"/>
      <family val="2"/>
      <scheme val="minor"/>
    </font>
    <font>
      <sz val="14"/>
      <color theme="1"/>
      <name val="Aptos Narrow"/>
      <family val="2"/>
      <scheme val="minor"/>
    </font>
    <font>
      <sz val="11"/>
      <color theme="1"/>
      <name val="Arial"/>
      <family val="2"/>
    </font>
    <font>
      <sz val="10"/>
      <color theme="1"/>
      <name val="Aptos Narrow"/>
      <family val="2"/>
      <scheme val="minor"/>
    </font>
    <font>
      <sz val="10.5"/>
      <color theme="1"/>
      <name val="Aptos Narrow"/>
      <family val="2"/>
      <scheme val="minor"/>
    </font>
    <font>
      <sz val="10.5"/>
      <name val="Aptos Narrow"/>
      <family val="2"/>
      <scheme val="minor"/>
    </font>
    <font>
      <b/>
      <sz val="10"/>
      <color theme="1"/>
      <name val="Arial"/>
      <family val="2"/>
    </font>
    <font>
      <sz val="11"/>
      <color indexed="8"/>
      <name val="Aptos Narrow"/>
      <family val="2"/>
      <scheme val="minor"/>
    </font>
    <font>
      <sz val="10.5"/>
      <color rgb="FFFF0000"/>
      <name val="Aptos Narrow"/>
      <family val="2"/>
      <scheme val="minor"/>
    </font>
    <font>
      <sz val="11"/>
      <name val="Aptos Narrow"/>
      <family val="2"/>
      <scheme val="minor"/>
    </font>
    <font>
      <b/>
      <sz val="11"/>
      <name val="Aptos Narrow"/>
      <family val="2"/>
      <scheme val="minor"/>
    </font>
    <font>
      <b/>
      <sz val="10.5"/>
      <name val="Aptos Narrow"/>
      <family val="2"/>
      <scheme val="minor"/>
    </font>
    <font>
      <b/>
      <sz val="10.5"/>
      <color theme="1"/>
      <name val="Aptos Narrow"/>
      <family val="2"/>
      <scheme val="minor"/>
    </font>
    <font>
      <b/>
      <sz val="10.5"/>
      <color rgb="FFFF0000"/>
      <name val="Aptos Narrow"/>
      <family val="2"/>
      <scheme val="minor"/>
    </font>
    <font>
      <b/>
      <sz val="9"/>
      <color theme="1"/>
      <name val="Arial"/>
      <family val="2"/>
    </font>
    <font>
      <sz val="9"/>
      <color theme="1"/>
      <name val="Arial"/>
      <family val="2"/>
    </font>
    <font>
      <b/>
      <sz val="10"/>
      <color theme="1"/>
      <name val="Aptos Narrow"/>
      <family val="2"/>
      <scheme val="minor"/>
    </font>
    <font>
      <b/>
      <sz val="14"/>
      <color theme="1"/>
      <name val="Aptos Narrow"/>
      <family val="2"/>
      <scheme val="minor"/>
    </font>
    <font>
      <b/>
      <sz val="11"/>
      <color rgb="FFFF0000"/>
      <name val="Aptos Narrow"/>
      <family val="2"/>
      <scheme val="minor"/>
    </font>
    <font>
      <b/>
      <sz val="12"/>
      <color rgb="FFFF0000"/>
      <name val="Aptos Narrow"/>
      <family val="2"/>
      <scheme val="minor"/>
    </font>
    <font>
      <b/>
      <sz val="12.5"/>
      <color theme="1"/>
      <name val="Aptos Narrow"/>
      <family val="2"/>
      <scheme val="minor"/>
    </font>
    <font>
      <sz val="12"/>
      <name val="Aptos Narrow"/>
      <family val="2"/>
      <scheme val="minor"/>
    </font>
    <font>
      <sz val="11"/>
      <color rgb="FF000000"/>
      <name val="Segoe UI"/>
      <family val="2"/>
    </font>
    <font>
      <b/>
      <i/>
      <sz val="11"/>
      <color theme="1"/>
      <name val="Arial"/>
      <family val="2"/>
    </font>
    <font>
      <b/>
      <sz val="12"/>
      <name val="Aptos Narrow"/>
      <family val="2"/>
      <scheme val="minor"/>
    </font>
    <font>
      <b/>
      <u/>
      <sz val="12"/>
      <color theme="1"/>
      <name val="Aptos Narrow"/>
      <family val="2"/>
      <scheme val="minor"/>
    </font>
    <font>
      <u/>
      <sz val="12"/>
      <color theme="1"/>
      <name val="Aptos Narrow"/>
      <family val="2"/>
      <scheme val="minor"/>
    </font>
    <font>
      <b/>
      <u/>
      <sz val="12"/>
      <color rgb="FFFF0000"/>
      <name val="Aptos Narrow"/>
      <family val="2"/>
      <scheme val="minor"/>
    </font>
    <font>
      <b/>
      <u/>
      <sz val="16"/>
      <color theme="10"/>
      <name val="Aptos Narrow"/>
      <family val="2"/>
      <scheme val="minor"/>
    </font>
    <font>
      <b/>
      <sz val="16"/>
      <color theme="1"/>
      <name val="Aptos Narrow"/>
      <family val="2"/>
      <scheme val="minor"/>
    </font>
    <font>
      <b/>
      <sz val="13"/>
      <color theme="1"/>
      <name val="Aptos Narrow"/>
      <family val="2"/>
      <scheme val="minor"/>
    </font>
    <font>
      <b/>
      <u/>
      <sz val="11"/>
      <name val="Aptos Narrow"/>
      <family val="2"/>
      <scheme val="minor"/>
    </font>
    <font>
      <b/>
      <sz val="16"/>
      <color rgb="FFFF0000"/>
      <name val="Aptos Narrow"/>
      <family val="2"/>
      <scheme val="minor"/>
    </font>
    <font>
      <b/>
      <sz val="11"/>
      <color theme="1"/>
      <name val="Arial"/>
      <family val="2"/>
    </font>
  </fonts>
  <fills count="7">
    <fill>
      <patternFill patternType="none"/>
    </fill>
    <fill>
      <patternFill patternType="gray125"/>
    </fill>
    <fill>
      <patternFill patternType="solid">
        <fgColor rgb="FFCCFFCC"/>
        <bgColor indexed="64"/>
      </patternFill>
    </fill>
    <fill>
      <patternFill patternType="solid">
        <fgColor rgb="FFFFFFCC"/>
        <bgColor indexed="64"/>
      </patternFill>
    </fill>
    <fill>
      <patternFill patternType="solid">
        <fgColor theme="6" tint="0.79998168889431442"/>
        <bgColor indexed="64"/>
      </patternFill>
    </fill>
    <fill>
      <patternFill patternType="solid">
        <fgColor rgb="FFFFFF00"/>
        <bgColor indexed="64"/>
      </patternFill>
    </fill>
    <fill>
      <patternFill patternType="solid">
        <fgColor rgb="FFEAEAEA"/>
        <bgColor indexed="64"/>
      </patternFill>
    </fill>
  </fills>
  <borders count="48">
    <border>
      <left/>
      <right/>
      <top/>
      <bottom/>
      <diagonal/>
    </border>
    <border>
      <left style="thin">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right style="thin">
        <color indexed="64"/>
      </right>
      <top style="thin">
        <color indexed="64"/>
      </top>
      <bottom/>
      <diagonal/>
    </border>
    <border>
      <left style="thin">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style="double">
        <color indexed="64"/>
      </top>
      <bottom/>
      <diagonal/>
    </border>
    <border>
      <left/>
      <right style="thin">
        <color indexed="64"/>
      </right>
      <top style="double">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style="thin">
        <color rgb="FF000000"/>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right style="double">
        <color indexed="64"/>
      </right>
      <top/>
      <bottom/>
      <diagonal/>
    </border>
    <border>
      <left style="double">
        <color indexed="64"/>
      </left>
      <right/>
      <top/>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43" fontId="1" fillId="0" borderId="0" applyFont="0" applyFill="0" applyBorder="0" applyAlignment="0" applyProtection="0"/>
    <xf numFmtId="0" fontId="4" fillId="0" borderId="0" applyNumberFormat="0" applyFill="0" applyBorder="0" applyAlignment="0" applyProtection="0"/>
    <xf numFmtId="44" fontId="1" fillId="0" borderId="0" applyFont="0" applyFill="0" applyBorder="0" applyAlignment="0" applyProtection="0"/>
  </cellStyleXfs>
  <cellXfs count="308">
    <xf numFmtId="0" fontId="0" fillId="0" borderId="0" xfId="0"/>
    <xf numFmtId="0" fontId="6" fillId="0" borderId="0" xfId="0" applyFont="1" applyAlignment="1">
      <alignment horizontal="center"/>
    </xf>
    <xf numFmtId="0" fontId="6" fillId="0" borderId="0" xfId="0" applyFont="1"/>
    <xf numFmtId="49" fontId="6" fillId="0" borderId="0" xfId="0" applyNumberFormat="1" applyFont="1" applyAlignment="1">
      <alignment horizontal="center"/>
    </xf>
    <xf numFmtId="0" fontId="27" fillId="0" borderId="0" xfId="0" applyFont="1" applyAlignment="1">
      <alignment horizontal="left" vertical="center"/>
    </xf>
    <xf numFmtId="0" fontId="6" fillId="0" borderId="0" xfId="0" applyFont="1" applyAlignment="1">
      <alignment horizontal="left" vertical="center"/>
    </xf>
    <xf numFmtId="12" fontId="6" fillId="0" borderId="0" xfId="0" applyNumberFormat="1" applyFont="1" applyAlignment="1">
      <alignment horizontal="center"/>
    </xf>
    <xf numFmtId="0" fontId="28" fillId="0" borderId="0" xfId="0" applyFont="1"/>
    <xf numFmtId="49" fontId="0" fillId="0" borderId="0" xfId="0" applyNumberFormat="1" applyAlignment="1">
      <alignment horizontal="center"/>
    </xf>
    <xf numFmtId="0" fontId="2" fillId="0" borderId="0" xfId="0" applyFont="1"/>
    <xf numFmtId="14" fontId="0" fillId="0" borderId="0" xfId="0" applyNumberFormat="1"/>
    <xf numFmtId="0" fontId="8" fillId="0" borderId="30" xfId="0" applyFont="1" applyBorder="1" applyAlignment="1">
      <alignment horizontal="center" wrapText="1"/>
    </xf>
    <xf numFmtId="3" fontId="8" fillId="0" borderId="30" xfId="0" applyNumberFormat="1" applyFont="1" applyBorder="1" applyAlignment="1">
      <alignment horizontal="center" wrapText="1"/>
    </xf>
    <xf numFmtId="0" fontId="8" fillId="0" borderId="30" xfId="0" applyFont="1" applyBorder="1" applyAlignment="1">
      <alignment wrapText="1"/>
    </xf>
    <xf numFmtId="0" fontId="4" fillId="0" borderId="30" xfId="2" applyBorder="1" applyAlignment="1" applyProtection="1">
      <alignment horizontal="center" wrapText="1"/>
      <protection locked="0"/>
    </xf>
    <xf numFmtId="0" fontId="8" fillId="0" borderId="24" xfId="0" applyFont="1" applyBorder="1" applyAlignment="1">
      <alignment horizontal="center" wrapText="1"/>
    </xf>
    <xf numFmtId="3" fontId="8" fillId="0" borderId="24" xfId="0" applyNumberFormat="1" applyFont="1" applyBorder="1" applyAlignment="1">
      <alignment horizontal="center"/>
    </xf>
    <xf numFmtId="3" fontId="8" fillId="0" borderId="24" xfId="3" applyNumberFormat="1" applyFont="1" applyBorder="1" applyAlignment="1">
      <alignment horizontal="center"/>
    </xf>
    <xf numFmtId="0" fontId="4" fillId="0" borderId="24" xfId="2" applyBorder="1" applyAlignment="1">
      <alignment horizontal="center"/>
    </xf>
    <xf numFmtId="0" fontId="8" fillId="0" borderId="0" xfId="0" applyFont="1"/>
    <xf numFmtId="0" fontId="8" fillId="0" borderId="0" xfId="0" applyFont="1" applyAlignment="1">
      <alignment horizontal="center"/>
    </xf>
    <xf numFmtId="0" fontId="6" fillId="0" borderId="24" xfId="0" applyFont="1" applyBorder="1" applyAlignment="1" applyProtection="1">
      <alignment horizontal="center" vertical="center" wrapText="1"/>
      <protection locked="0"/>
    </xf>
    <xf numFmtId="164" fontId="1" fillId="0" borderId="24" xfId="1" applyNumberFormat="1" applyFont="1" applyFill="1" applyBorder="1" applyProtection="1">
      <protection locked="0"/>
    </xf>
    <xf numFmtId="164" fontId="1" fillId="0" borderId="23" xfId="1" applyNumberFormat="1" applyFont="1" applyFill="1" applyBorder="1" applyProtection="1">
      <protection locked="0"/>
    </xf>
    <xf numFmtId="164" fontId="1" fillId="0" borderId="24" xfId="1" applyNumberFormat="1" applyFont="1" applyBorder="1" applyProtection="1">
      <protection locked="0"/>
    </xf>
    <xf numFmtId="164" fontId="1" fillId="0" borderId="23" xfId="1" applyNumberFormat="1" applyFont="1" applyBorder="1" applyProtection="1">
      <protection locked="0"/>
    </xf>
    <xf numFmtId="164" fontId="1" fillId="0" borderId="26" xfId="1" applyNumberFormat="1" applyFont="1" applyFill="1" applyBorder="1" applyProtection="1">
      <protection locked="0"/>
    </xf>
    <xf numFmtId="0" fontId="0" fillId="0" borderId="27" xfId="0" applyBorder="1" applyProtection="1">
      <protection locked="0"/>
    </xf>
    <xf numFmtId="0" fontId="0" fillId="0" borderId="39" xfId="0" applyBorder="1" applyProtection="1">
      <protection locked="0"/>
    </xf>
    <xf numFmtId="0" fontId="0" fillId="0" borderId="40" xfId="0" applyBorder="1" applyProtection="1">
      <protection locked="0"/>
    </xf>
    <xf numFmtId="3" fontId="0" fillId="0" borderId="27" xfId="1" applyNumberFormat="1" applyFont="1" applyBorder="1" applyProtection="1">
      <protection locked="0"/>
    </xf>
    <xf numFmtId="0" fontId="0" fillId="0" borderId="41" xfId="0" applyBorder="1" applyProtection="1">
      <protection locked="0"/>
    </xf>
    <xf numFmtId="0" fontId="0" fillId="0" borderId="42" xfId="0" applyBorder="1" applyProtection="1">
      <protection locked="0"/>
    </xf>
    <xf numFmtId="164" fontId="1" fillId="0" borderId="30" xfId="1" applyNumberFormat="1" applyFont="1" applyFill="1" applyBorder="1" applyProtection="1">
      <protection locked="0"/>
    </xf>
    <xf numFmtId="164" fontId="1" fillId="0" borderId="24" xfId="1" applyNumberFormat="1" applyFont="1" applyBorder="1" applyAlignment="1" applyProtection="1">
      <alignment horizontal="center" vertical="center"/>
      <protection locked="0"/>
    </xf>
    <xf numFmtId="164" fontId="1" fillId="0" borderId="24" xfId="1" applyNumberFormat="1" applyFont="1" applyFill="1" applyBorder="1" applyAlignment="1" applyProtection="1">
      <alignment horizontal="center" vertical="center"/>
      <protection locked="0"/>
    </xf>
    <xf numFmtId="43" fontId="3" fillId="0" borderId="32" xfId="1" applyFont="1" applyFill="1" applyBorder="1" applyAlignment="1" applyProtection="1">
      <alignment horizontal="center" vertical="center"/>
      <protection locked="0"/>
    </xf>
    <xf numFmtId="0" fontId="6" fillId="0" borderId="30" xfId="0" applyFont="1" applyBorder="1" applyAlignment="1" applyProtection="1">
      <alignment horizontal="center" vertical="center" wrapText="1"/>
      <protection locked="0"/>
    </xf>
    <xf numFmtId="0" fontId="37" fillId="0" borderId="0" xfId="2"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49" fontId="16" fillId="0" borderId="0" xfId="0" applyNumberFormat="1" applyFont="1" applyAlignment="1" applyProtection="1">
      <alignment horizontal="center" vertical="center"/>
      <protection locked="0"/>
      <extLst>
        <ext xmlns:xfpb="http://schemas.microsoft.com/office/spreadsheetml/2022/featurepropertybag" uri="{C7286773-470A-42A8-94C5-96B5CB345126}">
          <xfpb:xfComplement i="0"/>
        </ext>
      </extLst>
    </xf>
    <xf numFmtId="0" fontId="5" fillId="0" borderId="0" xfId="0" applyFont="1" applyAlignment="1">
      <alignment horizontal="left" vertical="center" wrapText="1"/>
    </xf>
    <xf numFmtId="0" fontId="5" fillId="0" borderId="0" xfId="0" applyFont="1" applyAlignment="1">
      <alignment horizontal="left" vertical="center"/>
    </xf>
    <xf numFmtId="0" fontId="6" fillId="0" borderId="21" xfId="0" applyFont="1" applyBorder="1" applyAlignment="1">
      <alignment horizontal="center" vertical="center" wrapText="1"/>
    </xf>
    <xf numFmtId="0" fontId="5" fillId="0" borderId="26" xfId="0" applyFont="1" applyBorder="1" applyAlignment="1">
      <alignment horizontal="left" vertical="center"/>
    </xf>
    <xf numFmtId="0" fontId="22" fillId="0" borderId="0" xfId="0" applyFont="1" applyAlignment="1">
      <alignment horizontal="left" vertical="center" wrapText="1"/>
    </xf>
    <xf numFmtId="0" fontId="22" fillId="0" borderId="30" xfId="0" applyFont="1" applyBorder="1" applyAlignment="1">
      <alignment horizontal="left" vertical="center" wrapText="1"/>
    </xf>
    <xf numFmtId="0" fontId="22" fillId="0" borderId="18" xfId="0" applyFont="1" applyBorder="1" applyAlignment="1">
      <alignment horizontal="left" vertical="center" wrapText="1"/>
    </xf>
    <xf numFmtId="0" fontId="3" fillId="4" borderId="21" xfId="0" applyFont="1" applyFill="1" applyBorder="1" applyAlignment="1">
      <alignment horizontal="center" vertical="center" wrapText="1"/>
    </xf>
    <xf numFmtId="0" fontId="3" fillId="4" borderId="24" xfId="0" applyFont="1" applyFill="1" applyBorder="1" applyAlignment="1">
      <alignment horizontal="center" vertical="center" wrapText="1"/>
    </xf>
    <xf numFmtId="0" fontId="8" fillId="4" borderId="24" xfId="0" applyFont="1" applyFill="1" applyBorder="1" applyAlignment="1">
      <alignment horizontal="center"/>
    </xf>
    <xf numFmtId="0" fontId="3" fillId="4" borderId="24" xfId="0" applyFont="1" applyFill="1"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164" fontId="1" fillId="0" borderId="24" xfId="1" applyNumberFormat="1" applyFont="1" applyBorder="1" applyProtection="1"/>
    <xf numFmtId="164" fontId="0" fillId="0" borderId="29" xfId="0" applyNumberFormat="1" applyBorder="1"/>
    <xf numFmtId="164" fontId="0" fillId="0" borderId="27" xfId="0" applyNumberFormat="1" applyBorder="1"/>
    <xf numFmtId="164" fontId="1" fillId="0" borderId="28" xfId="1" applyNumberFormat="1" applyFont="1" applyBorder="1" applyProtection="1"/>
    <xf numFmtId="164" fontId="0" fillId="0" borderId="29" xfId="1" applyNumberFormat="1" applyFont="1" applyBorder="1" applyProtection="1"/>
    <xf numFmtId="164" fontId="0" fillId="0" borderId="27" xfId="1" applyNumberFormat="1" applyFont="1" applyBorder="1" applyProtection="1"/>
    <xf numFmtId="164" fontId="1" fillId="0" borderId="28" xfId="1" applyNumberFormat="1" applyFont="1" applyBorder="1" applyAlignment="1" applyProtection="1">
      <alignment horizontal="center" vertical="center"/>
    </xf>
    <xf numFmtId="0" fontId="20" fillId="0" borderId="20" xfId="0" applyFont="1" applyBorder="1"/>
    <xf numFmtId="0" fontId="0" fillId="0" borderId="20" xfId="0" applyBorder="1"/>
    <xf numFmtId="0" fontId="20" fillId="0" borderId="31" xfId="0" applyFont="1" applyBorder="1"/>
    <xf numFmtId="0" fontId="0" fillId="0" borderId="18" xfId="0" applyBorder="1"/>
    <xf numFmtId="0" fontId="20" fillId="0" borderId="18" xfId="0" applyFont="1" applyBorder="1"/>
    <xf numFmtId="164" fontId="1" fillId="0" borderId="30" xfId="1" applyNumberFormat="1" applyFont="1" applyFill="1" applyBorder="1" applyProtection="1"/>
    <xf numFmtId="164" fontId="1" fillId="0" borderId="30" xfId="1" applyNumberFormat="1" applyFont="1" applyBorder="1" applyProtection="1"/>
    <xf numFmtId="164" fontId="1" fillId="0" borderId="24" xfId="1" applyNumberFormat="1" applyFont="1" applyBorder="1" applyAlignment="1" applyProtection="1">
      <alignment horizontal="center" vertical="center"/>
    </xf>
    <xf numFmtId="164" fontId="1" fillId="0" borderId="24" xfId="1" applyNumberFormat="1" applyFont="1" applyFill="1" applyBorder="1" applyAlignment="1" applyProtection="1">
      <alignment horizontal="center" vertical="center"/>
    </xf>
    <xf numFmtId="164" fontId="1" fillId="0" borderId="30" xfId="1" applyNumberFormat="1" applyFont="1" applyFill="1" applyBorder="1" applyAlignment="1" applyProtection="1">
      <alignment horizontal="center" vertical="center"/>
    </xf>
    <xf numFmtId="0" fontId="3" fillId="2" borderId="24" xfId="0" applyFont="1" applyFill="1" applyBorder="1" applyAlignment="1">
      <alignment horizontal="center" vertical="center" wrapText="1"/>
    </xf>
    <xf numFmtId="0" fontId="3" fillId="2" borderId="24" xfId="0" applyFont="1" applyFill="1" applyBorder="1" applyAlignment="1">
      <alignment vertical="center"/>
    </xf>
    <xf numFmtId="0" fontId="3" fillId="2" borderId="24" xfId="0" applyFont="1" applyFill="1" applyBorder="1" applyAlignment="1">
      <alignment horizontal="center" vertical="center"/>
    </xf>
    <xf numFmtId="164" fontId="0" fillId="0" borderId="24" xfId="0" applyNumberFormat="1" applyBorder="1" applyAlignment="1">
      <alignment horizontal="center" vertical="center"/>
    </xf>
    <xf numFmtId="164" fontId="0" fillId="0" borderId="24" xfId="0" applyNumberFormat="1" applyBorder="1" applyAlignment="1">
      <alignment vertical="center"/>
    </xf>
    <xf numFmtId="164" fontId="1" fillId="0" borderId="24" xfId="1" applyNumberFormat="1" applyFont="1" applyBorder="1" applyAlignment="1" applyProtection="1">
      <alignment vertical="center"/>
    </xf>
    <xf numFmtId="164" fontId="21" fillId="6" borderId="24" xfId="1" applyNumberFormat="1" applyFont="1" applyFill="1" applyBorder="1" applyAlignment="1" applyProtection="1">
      <alignment horizontal="center" vertical="center"/>
    </xf>
    <xf numFmtId="0" fontId="21" fillId="0" borderId="0" xfId="0" applyFont="1" applyAlignment="1">
      <alignment horizontal="center" vertical="top"/>
    </xf>
    <xf numFmtId="0" fontId="3" fillId="0" borderId="0" xfId="0" applyFont="1" applyAlignment="1">
      <alignment vertical="center"/>
    </xf>
    <xf numFmtId="164" fontId="1" fillId="0" borderId="0" xfId="1" applyNumberFormat="1" applyFont="1" applyBorder="1" applyProtection="1"/>
    <xf numFmtId="164" fontId="21" fillId="0" borderId="0" xfId="1" applyNumberFormat="1" applyFont="1" applyBorder="1" applyAlignment="1" applyProtection="1">
      <alignment horizontal="center" vertical="top"/>
    </xf>
    <xf numFmtId="0" fontId="19" fillId="0" borderId="0" xfId="0" applyFont="1" applyAlignment="1">
      <alignment horizontal="left" wrapText="1"/>
    </xf>
    <xf numFmtId="0" fontId="6" fillId="0" borderId="0" xfId="0" applyFont="1" applyAlignment="1">
      <alignment wrapText="1"/>
    </xf>
    <xf numFmtId="0" fontId="9" fillId="0" borderId="0" xfId="0" applyFont="1" applyAlignment="1">
      <alignment wrapText="1"/>
    </xf>
    <xf numFmtId="0" fontId="3" fillId="0" borderId="0" xfId="0" applyFont="1" applyAlignment="1">
      <alignment horizontal="right"/>
    </xf>
    <xf numFmtId="0" fontId="9" fillId="0" borderId="0" xfId="0" applyFont="1" applyAlignment="1">
      <alignment horizontal="center"/>
    </xf>
    <xf numFmtId="0" fontId="5" fillId="0" borderId="0" xfId="0" applyFont="1" applyAlignment="1">
      <alignment horizontal="center" wrapText="1"/>
    </xf>
    <xf numFmtId="0" fontId="9" fillId="0" borderId="0" xfId="0" applyFont="1"/>
    <xf numFmtId="0" fontId="0" fillId="0" borderId="0" xfId="0" applyAlignment="1">
      <alignment vertical="top" wrapText="1"/>
    </xf>
    <xf numFmtId="0" fontId="25" fillId="0" borderId="0" xfId="0" applyFont="1" applyAlignment="1">
      <alignment horizontal="center"/>
    </xf>
    <xf numFmtId="0" fontId="5" fillId="0" borderId="0" xfId="0" applyFont="1"/>
    <xf numFmtId="0" fontId="25" fillId="0" borderId="33" xfId="0" applyFont="1" applyBorder="1" applyAlignment="1">
      <alignment horizontal="center" vertical="center"/>
    </xf>
    <xf numFmtId="0" fontId="0" fillId="0" borderId="34" xfId="0" applyBorder="1"/>
    <xf numFmtId="0" fontId="0" fillId="0" borderId="35" xfId="0" applyBorder="1"/>
    <xf numFmtId="0" fontId="0" fillId="0" borderId="36" xfId="0" applyBorder="1"/>
    <xf numFmtId="0" fontId="5" fillId="0" borderId="36" xfId="0" applyFont="1" applyBorder="1" applyAlignment="1">
      <alignment horizontal="left" indent="4"/>
    </xf>
    <xf numFmtId="0" fontId="5" fillId="0" borderId="0" xfId="0" applyFont="1" applyAlignment="1">
      <alignment horizontal="left" indent="4"/>
    </xf>
    <xf numFmtId="0" fontId="5" fillId="0" borderId="0" xfId="0" applyFont="1" applyAlignment="1">
      <alignment vertical="center"/>
    </xf>
    <xf numFmtId="0" fontId="5" fillId="0" borderId="35" xfId="0" applyFont="1" applyBorder="1"/>
    <xf numFmtId="0" fontId="6" fillId="0" borderId="35" xfId="0" applyFont="1" applyBorder="1"/>
    <xf numFmtId="0" fontId="6" fillId="0" borderId="0" xfId="0" applyFont="1" applyAlignment="1">
      <alignment horizontal="left"/>
    </xf>
    <xf numFmtId="0" fontId="6" fillId="0" borderId="35" xfId="0" applyFont="1" applyBorder="1" applyAlignment="1">
      <alignment horizontal="left"/>
    </xf>
    <xf numFmtId="0" fontId="3" fillId="0" borderId="0" xfId="0" applyFont="1"/>
    <xf numFmtId="0" fontId="0" fillId="0" borderId="33" xfId="0" applyBorder="1"/>
    <xf numFmtId="0" fontId="5" fillId="0" borderId="36" xfId="0" applyFont="1" applyBorder="1" applyAlignment="1">
      <alignment horizontal="left" indent="1"/>
    </xf>
    <xf numFmtId="0" fontId="5" fillId="0" borderId="0" xfId="0" applyFont="1" applyAlignment="1">
      <alignment horizontal="right" vertical="center" wrapText="1"/>
    </xf>
    <xf numFmtId="0" fontId="6" fillId="0" borderId="36" xfId="0" applyFont="1" applyBorder="1"/>
    <xf numFmtId="0" fontId="6" fillId="0" borderId="0" xfId="0" quotePrefix="1" applyFont="1"/>
    <xf numFmtId="0" fontId="0" fillId="0" borderId="35" xfId="0" applyBorder="1" applyAlignment="1">
      <alignment horizontal="left"/>
    </xf>
    <xf numFmtId="0" fontId="6" fillId="0" borderId="36" xfId="0" applyFont="1" applyBorder="1" applyAlignment="1">
      <alignment horizontal="left" indent="2"/>
    </xf>
    <xf numFmtId="0" fontId="6" fillId="0" borderId="0" xfId="0" applyFont="1" applyAlignment="1">
      <alignment horizontal="left" indent="2"/>
    </xf>
    <xf numFmtId="164" fontId="1" fillId="0" borderId="24" xfId="1" applyNumberFormat="1" applyFont="1" applyBorder="1" applyAlignment="1" applyProtection="1">
      <alignment vertical="center"/>
      <protection locked="0"/>
    </xf>
    <xf numFmtId="0" fontId="3"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43" fontId="3" fillId="0" borderId="46" xfId="1" applyFont="1" applyFill="1" applyBorder="1" applyAlignment="1" applyProtection="1">
      <alignment horizontal="center" vertical="center"/>
      <protection locked="0"/>
    </xf>
    <xf numFmtId="43" fontId="3" fillId="0" borderId="47" xfId="1" applyFont="1" applyFill="1" applyBorder="1" applyAlignment="1" applyProtection="1">
      <alignment horizontal="center" vertical="center"/>
      <protection locked="0"/>
    </xf>
    <xf numFmtId="0" fontId="38" fillId="0" borderId="24" xfId="0" applyFont="1" applyBorder="1" applyAlignment="1">
      <alignment horizontal="center" vertical="center"/>
    </xf>
    <xf numFmtId="0" fontId="35" fillId="0" borderId="24" xfId="0" applyFont="1" applyBorder="1" applyAlignment="1">
      <alignment horizontal="center" vertical="center"/>
    </xf>
    <xf numFmtId="0" fontId="6" fillId="0" borderId="22"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locked="0"/>
    </xf>
    <xf numFmtId="0" fontId="6" fillId="0" borderId="23" xfId="0" applyFont="1" applyBorder="1" applyAlignment="1">
      <alignment horizontal="center" vertical="center" wrapText="1"/>
    </xf>
    <xf numFmtId="0" fontId="6" fillId="0" borderId="21" xfId="0" applyFont="1" applyBorder="1" applyAlignment="1">
      <alignment horizontal="center" vertical="center" wrapText="1"/>
    </xf>
    <xf numFmtId="0" fontId="0" fillId="0" borderId="22"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0" fillId="0" borderId="23" xfId="0"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6" fillId="0" borderId="20" xfId="0" applyFont="1" applyBorder="1" applyAlignment="1">
      <alignment horizontal="center" vertical="center" wrapText="1"/>
    </xf>
    <xf numFmtId="0" fontId="5" fillId="0" borderId="0" xfId="0" applyFont="1" applyAlignment="1">
      <alignment horizontal="center" vertical="center"/>
    </xf>
    <xf numFmtId="0" fontId="6" fillId="0" borderId="33" xfId="0" applyFont="1" applyBorder="1" applyAlignment="1" applyProtection="1">
      <alignment horizontal="left" vertical="center"/>
      <protection locked="0"/>
    </xf>
    <xf numFmtId="0" fontId="5" fillId="0" borderId="0" xfId="0" applyFont="1" applyAlignment="1">
      <alignment horizontal="center" wrapText="1"/>
    </xf>
    <xf numFmtId="0" fontId="3" fillId="0" borderId="0" xfId="0" applyFont="1" applyAlignment="1">
      <alignment horizontal="center" vertical="center" wrapText="1"/>
    </xf>
    <xf numFmtId="0" fontId="5" fillId="0" borderId="0" xfId="0" applyFont="1" applyAlignment="1">
      <alignment horizontal="center"/>
    </xf>
    <xf numFmtId="0" fontId="26" fillId="0" borderId="0" xfId="0" applyFont="1"/>
    <xf numFmtId="0" fontId="23" fillId="0" borderId="36" xfId="0" applyFont="1" applyBorder="1" applyAlignment="1">
      <alignment horizontal="center"/>
    </xf>
    <xf numFmtId="0" fontId="23" fillId="0" borderId="0" xfId="0" applyFont="1" applyAlignment="1">
      <alignment horizontal="center"/>
    </xf>
    <xf numFmtId="0" fontId="23" fillId="0" borderId="35" xfId="0" applyFont="1" applyBorder="1" applyAlignment="1">
      <alignment horizontal="center"/>
    </xf>
    <xf numFmtId="0" fontId="9" fillId="0" borderId="0" xfId="0" applyFont="1"/>
    <xf numFmtId="0" fontId="7" fillId="0" borderId="0" xfId="0" applyFont="1" applyAlignment="1">
      <alignment horizontal="center"/>
    </xf>
    <xf numFmtId="0" fontId="6" fillId="0" borderId="0" xfId="0" applyFont="1" applyAlignment="1">
      <alignment vertical="top" wrapText="1"/>
    </xf>
    <xf numFmtId="0" fontId="25" fillId="0" borderId="0" xfId="0" applyFont="1" applyAlignment="1">
      <alignment horizontal="left" vertical="top" wrapText="1"/>
    </xf>
    <xf numFmtId="0" fontId="3" fillId="0" borderId="0" xfId="0" applyFont="1" applyAlignment="1">
      <alignment horizontal="left" vertical="center" wrapText="1"/>
    </xf>
    <xf numFmtId="0" fontId="0" fillId="0" borderId="0" xfId="0"/>
    <xf numFmtId="0" fontId="6" fillId="0" borderId="33" xfId="0" applyFont="1" applyBorder="1" applyAlignment="1" applyProtection="1">
      <alignment horizontal="left"/>
      <protection locked="0"/>
    </xf>
    <xf numFmtId="0" fontId="3"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3" xfId="0" applyBorder="1" applyAlignment="1" applyProtection="1">
      <alignment horizontal="left"/>
      <protection locked="0"/>
    </xf>
    <xf numFmtId="0" fontId="6" fillId="0" borderId="36" xfId="0" applyFont="1" applyBorder="1" applyAlignment="1">
      <alignment horizontal="left" vertical="center" wrapText="1"/>
    </xf>
    <xf numFmtId="0" fontId="6" fillId="0" borderId="0" xfId="0" applyFont="1" applyAlignment="1">
      <alignment horizontal="left" vertical="center" wrapText="1"/>
    </xf>
    <xf numFmtId="0" fontId="6" fillId="0" borderId="35" xfId="0" applyFont="1" applyBorder="1" applyAlignment="1">
      <alignment horizontal="left" vertical="center" wrapText="1"/>
    </xf>
    <xf numFmtId="0" fontId="6" fillId="0" borderId="37" xfId="0" applyFont="1" applyBorder="1" applyAlignment="1">
      <alignment horizontal="left" vertical="center" wrapText="1"/>
    </xf>
    <xf numFmtId="0" fontId="6" fillId="0" borderId="33" xfId="0" applyFont="1" applyBorder="1" applyAlignment="1">
      <alignment horizontal="left" vertical="center" wrapText="1"/>
    </xf>
    <xf numFmtId="0" fontId="6" fillId="0" borderId="38" xfId="0" applyFont="1" applyBorder="1" applyAlignment="1">
      <alignment horizontal="left" vertical="center" wrapText="1"/>
    </xf>
    <xf numFmtId="0" fontId="24" fillId="0" borderId="0" xfId="0" applyFont="1" applyAlignment="1">
      <alignment horizontal="center"/>
    </xf>
    <xf numFmtId="0" fontId="3" fillId="0" borderId="0" xfId="0" applyFont="1" applyAlignment="1">
      <alignment horizontal="left"/>
    </xf>
    <xf numFmtId="0" fontId="6" fillId="0" borderId="0" xfId="0" applyFont="1" applyAlignment="1">
      <alignment wrapText="1"/>
    </xf>
    <xf numFmtId="0" fontId="3" fillId="0" borderId="0" xfId="0" applyFont="1" applyAlignment="1">
      <alignment horizontal="left" wrapText="1"/>
    </xf>
    <xf numFmtId="14" fontId="0" fillId="0" borderId="33" xfId="0" applyNumberFormat="1" applyBorder="1" applyAlignment="1" applyProtection="1">
      <alignment horizontal="center" vertical="center"/>
      <protection locked="0"/>
    </xf>
    <xf numFmtId="0" fontId="3" fillId="2" borderId="23" xfId="0" applyFont="1" applyFill="1" applyBorder="1" applyAlignment="1">
      <alignment horizontal="left" vertical="center" wrapText="1"/>
    </xf>
    <xf numFmtId="0" fontId="3" fillId="2" borderId="20" xfId="0" applyFont="1" applyFill="1" applyBorder="1" applyAlignment="1">
      <alignment horizontal="left" vertical="center" wrapText="1"/>
    </xf>
    <xf numFmtId="0" fontId="3" fillId="2" borderId="21" xfId="0" applyFont="1" applyFill="1" applyBorder="1" applyAlignment="1">
      <alignment horizontal="left" vertical="center" wrapText="1"/>
    </xf>
    <xf numFmtId="0" fontId="21" fillId="0" borderId="23" xfId="0" applyFont="1" applyBorder="1" applyAlignment="1">
      <alignment horizontal="center" vertical="top"/>
    </xf>
    <xf numFmtId="0" fontId="21" fillId="0" borderId="20" xfId="0" applyFont="1" applyBorder="1" applyAlignment="1">
      <alignment horizontal="center" vertical="top"/>
    </xf>
    <xf numFmtId="0" fontId="21" fillId="0" borderId="21" xfId="0" applyFont="1" applyBorder="1" applyAlignment="1">
      <alignment horizontal="center" vertical="top"/>
    </xf>
    <xf numFmtId="0" fontId="3" fillId="0" borderId="23" xfId="0" applyFont="1" applyBorder="1" applyAlignment="1">
      <alignment horizontal="left" vertical="center"/>
    </xf>
    <xf numFmtId="0" fontId="3" fillId="0" borderId="20" xfId="0" applyFont="1" applyBorder="1" applyAlignment="1">
      <alignment horizontal="left" vertical="center"/>
    </xf>
    <xf numFmtId="0" fontId="3" fillId="0" borderId="21" xfId="0" applyFont="1" applyBorder="1" applyAlignment="1">
      <alignment horizontal="left" vertical="center"/>
    </xf>
    <xf numFmtId="0" fontId="10" fillId="0" borderId="24" xfId="0" applyFont="1" applyBorder="1" applyAlignment="1">
      <alignment vertical="center"/>
    </xf>
    <xf numFmtId="0" fontId="10" fillId="0" borderId="0" xfId="0" applyFont="1" applyAlignment="1">
      <alignment vertical="center"/>
    </xf>
    <xf numFmtId="0" fontId="3" fillId="2" borderId="23" xfId="0" applyFont="1" applyFill="1" applyBorder="1" applyAlignment="1">
      <alignment vertical="center"/>
    </xf>
    <xf numFmtId="0" fontId="3" fillId="2" borderId="20" xfId="0" applyFont="1" applyFill="1" applyBorder="1" applyAlignment="1">
      <alignment vertical="center"/>
    </xf>
    <xf numFmtId="0" fontId="3" fillId="2" borderId="21" xfId="0" applyFont="1" applyFill="1" applyBorder="1" applyAlignment="1">
      <alignment vertical="center"/>
    </xf>
    <xf numFmtId="0" fontId="3" fillId="0" borderId="20" xfId="0" applyFont="1" applyBorder="1" applyAlignment="1">
      <alignment vertical="center" wrapText="1"/>
    </xf>
    <xf numFmtId="0" fontId="18" fillId="0" borderId="20" xfId="0" applyFont="1" applyBorder="1" applyAlignment="1">
      <alignment vertical="center" wrapText="1"/>
    </xf>
    <xf numFmtId="0" fontId="10" fillId="0" borderId="18" xfId="0" applyFont="1" applyBorder="1" applyAlignment="1">
      <alignment vertical="center" wrapText="1"/>
    </xf>
    <xf numFmtId="0" fontId="3" fillId="2" borderId="23" xfId="0" applyFont="1" applyFill="1" applyBorder="1" applyAlignment="1">
      <alignment horizontal="left" vertical="center"/>
    </xf>
    <xf numFmtId="0" fontId="3" fillId="2" borderId="20" xfId="0" applyFont="1" applyFill="1" applyBorder="1" applyAlignment="1">
      <alignment horizontal="left" vertical="center"/>
    </xf>
    <xf numFmtId="0" fontId="25" fillId="0" borderId="0" xfId="0" applyFont="1" applyAlignment="1">
      <alignment horizontal="left" wrapText="1"/>
    </xf>
    <xf numFmtId="0" fontId="10" fillId="0" borderId="23" xfId="0" applyFont="1" applyBorder="1" applyAlignment="1">
      <alignment vertical="center" wrapText="1"/>
    </xf>
    <xf numFmtId="0" fontId="10" fillId="0" borderId="20" xfId="0" applyFont="1" applyBorder="1" applyAlignment="1">
      <alignment vertical="center" wrapText="1"/>
    </xf>
    <xf numFmtId="0" fontId="10" fillId="0" borderId="21" xfId="0" applyFont="1" applyBorder="1" applyAlignment="1">
      <alignment vertical="center" wrapText="1"/>
    </xf>
    <xf numFmtId="0" fontId="10" fillId="0" borderId="0" xfId="0" applyFont="1" applyAlignment="1">
      <alignment vertical="center" wrapText="1"/>
    </xf>
    <xf numFmtId="0" fontId="14" fillId="0" borderId="24" xfId="0" applyFont="1" applyBorder="1" applyAlignment="1">
      <alignment vertical="center" wrapText="1"/>
    </xf>
    <xf numFmtId="0" fontId="14" fillId="0" borderId="0" xfId="0" applyFont="1" applyAlignment="1">
      <alignment vertical="center" wrapText="1"/>
    </xf>
    <xf numFmtId="0" fontId="11" fillId="0" borderId="23" xfId="0" applyFont="1" applyBorder="1" applyAlignment="1">
      <alignment horizontal="left" vertical="center" wrapText="1"/>
    </xf>
    <xf numFmtId="0" fontId="11" fillId="0" borderId="20" xfId="0" applyFont="1" applyBorder="1" applyAlignment="1">
      <alignment horizontal="left" vertical="center" wrapText="1"/>
    </xf>
    <xf numFmtId="0" fontId="11" fillId="0" borderId="21" xfId="0" applyFont="1" applyBorder="1" applyAlignment="1">
      <alignment horizontal="left" vertical="center" wrapText="1"/>
    </xf>
    <xf numFmtId="0" fontId="16" fillId="0" borderId="23" xfId="0" applyFont="1" applyBorder="1" applyAlignment="1">
      <alignment horizontal="left" vertical="center"/>
    </xf>
    <xf numFmtId="0" fontId="16" fillId="0" borderId="20" xfId="0" applyFont="1" applyBorder="1" applyAlignment="1">
      <alignment horizontal="left" vertical="center"/>
    </xf>
    <xf numFmtId="0" fontId="16" fillId="0" borderId="23" xfId="0" applyFont="1" applyBorder="1" applyAlignment="1">
      <alignment horizontal="left" vertical="center" wrapText="1"/>
    </xf>
    <xf numFmtId="0" fontId="18" fillId="0" borderId="1" xfId="0" applyFont="1" applyBorder="1" applyAlignment="1">
      <alignment horizontal="left" vertical="top" wrapText="1"/>
    </xf>
    <xf numFmtId="0" fontId="18" fillId="0" borderId="2" xfId="0" applyFont="1" applyBorder="1" applyAlignment="1">
      <alignment horizontal="left" vertical="top" wrapText="1"/>
    </xf>
    <xf numFmtId="0" fontId="18" fillId="0" borderId="5" xfId="0" applyFont="1" applyBorder="1" applyAlignment="1">
      <alignment horizontal="left" vertical="top" wrapText="1"/>
    </xf>
    <xf numFmtId="0" fontId="18" fillId="0" borderId="22" xfId="0" applyFont="1" applyBorder="1" applyAlignment="1">
      <alignment horizontal="left" vertical="top" wrapText="1"/>
    </xf>
    <xf numFmtId="0" fontId="18" fillId="0" borderId="18" xfId="0" applyFont="1" applyBorder="1" applyAlignment="1">
      <alignment horizontal="left" vertical="top" wrapText="1"/>
    </xf>
    <xf numFmtId="0" fontId="18" fillId="0" borderId="19" xfId="0" applyFont="1" applyBorder="1" applyAlignment="1">
      <alignment horizontal="left" vertical="top" wrapText="1"/>
    </xf>
    <xf numFmtId="0" fontId="10" fillId="0" borderId="24" xfId="0" applyFont="1" applyBorder="1" applyAlignment="1">
      <alignment vertical="center" wrapText="1"/>
    </xf>
    <xf numFmtId="0" fontId="10" fillId="0" borderId="30" xfId="0" applyFont="1" applyBorder="1" applyAlignment="1">
      <alignment vertical="center" wrapText="1"/>
    </xf>
    <xf numFmtId="0" fontId="3" fillId="3" borderId="23"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3" borderId="21" xfId="0" applyFont="1" applyFill="1" applyBorder="1" applyAlignment="1">
      <alignment horizontal="left" vertical="center" wrapText="1"/>
    </xf>
    <xf numFmtId="0" fontId="12" fillId="2" borderId="25" xfId="0" applyFont="1" applyFill="1" applyBorder="1" applyAlignment="1">
      <alignment horizontal="center" vertical="center" textRotation="255"/>
    </xf>
    <xf numFmtId="0" fontId="12" fillId="2" borderId="26" xfId="0" applyFont="1" applyFill="1" applyBorder="1" applyAlignment="1">
      <alignment horizontal="center" vertical="center" textRotation="255"/>
    </xf>
    <xf numFmtId="0" fontId="12" fillId="2" borderId="30" xfId="0" applyFont="1" applyFill="1" applyBorder="1" applyAlignment="1">
      <alignment horizontal="center" vertical="center" textRotation="255"/>
    </xf>
    <xf numFmtId="0" fontId="3" fillId="2" borderId="21" xfId="0" applyFont="1" applyFill="1" applyBorder="1" applyAlignment="1">
      <alignment horizontal="left" vertical="center"/>
    </xf>
    <xf numFmtId="0" fontId="10" fillId="0" borderId="0" xfId="0" applyFont="1" applyAlignment="1">
      <alignment vertical="top" wrapText="1"/>
    </xf>
    <xf numFmtId="0" fontId="10" fillId="0" borderId="23" xfId="0" applyFont="1" applyBorder="1" applyAlignment="1">
      <alignment horizontal="left" vertical="top" wrapText="1"/>
    </xf>
    <xf numFmtId="0" fontId="10" fillId="0" borderId="20" xfId="0" applyFont="1" applyBorder="1" applyAlignment="1">
      <alignment horizontal="left" vertical="top" wrapText="1"/>
    </xf>
    <xf numFmtId="0" fontId="10" fillId="0" borderId="29" xfId="0" applyFont="1" applyBorder="1" applyAlignment="1">
      <alignment horizontal="left" vertical="top" wrapText="1"/>
    </xf>
    <xf numFmtId="0" fontId="17" fillId="0" borderId="24" xfId="0" applyFont="1" applyBorder="1" applyAlignment="1">
      <alignment vertical="center"/>
    </xf>
    <xf numFmtId="0" fontId="3" fillId="2" borderId="23" xfId="0" applyFont="1" applyFill="1" applyBorder="1" applyAlignment="1">
      <alignment vertical="center" wrapText="1"/>
    </xf>
    <xf numFmtId="0" fontId="3" fillId="2" borderId="20" xfId="0" applyFont="1" applyFill="1" applyBorder="1" applyAlignment="1">
      <alignment vertical="center" wrapText="1"/>
    </xf>
    <xf numFmtId="0" fontId="3" fillId="2" borderId="2" xfId="0" applyFont="1" applyFill="1" applyBorder="1" applyAlignment="1">
      <alignment vertical="center" wrapText="1"/>
    </xf>
    <xf numFmtId="0" fontId="3" fillId="2" borderId="21" xfId="0" applyFont="1" applyFill="1" applyBorder="1" applyAlignment="1">
      <alignment vertical="center" wrapText="1"/>
    </xf>
    <xf numFmtId="0" fontId="3" fillId="2" borderId="25" xfId="0" applyFont="1" applyFill="1" applyBorder="1" applyAlignment="1">
      <alignment horizontal="center" vertical="center" wrapText="1"/>
    </xf>
    <xf numFmtId="0" fontId="3" fillId="2" borderId="30" xfId="0" applyFont="1" applyFill="1" applyBorder="1" applyAlignment="1">
      <alignment horizontal="center" vertical="center" wrapText="1"/>
    </xf>
    <xf numFmtId="0" fontId="3" fillId="2" borderId="23" xfId="0" applyFont="1" applyFill="1" applyBorder="1" applyAlignment="1">
      <alignment horizontal="center" vertical="center"/>
    </xf>
    <xf numFmtId="0" fontId="3" fillId="2" borderId="21" xfId="0" applyFont="1" applyFill="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10" fillId="0" borderId="24" xfId="0" applyFont="1" applyBorder="1" applyAlignment="1">
      <alignment vertical="top" wrapText="1"/>
    </xf>
    <xf numFmtId="0" fontId="34" fillId="0" borderId="22" xfId="2" applyFont="1" applyBorder="1" applyAlignment="1" applyProtection="1">
      <alignment horizontal="left"/>
    </xf>
    <xf numFmtId="0" fontId="34" fillId="0" borderId="18" xfId="2" applyFont="1" applyBorder="1" applyAlignment="1" applyProtection="1">
      <alignment horizontal="left"/>
    </xf>
    <xf numFmtId="0" fontId="34" fillId="0" borderId="20" xfId="2" applyFont="1" applyBorder="1" applyAlignment="1" applyProtection="1">
      <alignment horizontal="left"/>
    </xf>
    <xf numFmtId="0" fontId="34" fillId="0" borderId="21" xfId="2" applyFont="1" applyBorder="1" applyAlignment="1" applyProtection="1">
      <alignment horizontal="left"/>
    </xf>
    <xf numFmtId="0" fontId="0" fillId="4" borderId="23" xfId="0" applyFill="1" applyBorder="1" applyAlignment="1">
      <alignment horizontal="left"/>
    </xf>
    <xf numFmtId="0" fontId="0" fillId="4" borderId="20" xfId="0" applyFill="1" applyBorder="1" applyAlignment="1">
      <alignment horizontal="left"/>
    </xf>
    <xf numFmtId="0" fontId="0" fillId="4" borderId="21" xfId="0" applyFill="1" applyBorder="1" applyAlignment="1">
      <alignment horizontal="left"/>
    </xf>
    <xf numFmtId="0" fontId="3" fillId="0" borderId="24" xfId="0" applyFont="1" applyBorder="1" applyAlignment="1">
      <alignment vertical="center"/>
    </xf>
    <xf numFmtId="0" fontId="0" fillId="0" borderId="24" xfId="0" applyBorder="1" applyAlignment="1">
      <alignment vertical="center"/>
    </xf>
    <xf numFmtId="0" fontId="3" fillId="0" borderId="24" xfId="0" applyFont="1" applyBorder="1" applyAlignment="1">
      <alignment vertical="center" wrapText="1"/>
    </xf>
    <xf numFmtId="0" fontId="0" fillId="0" borderId="24" xfId="0" applyBorder="1" applyAlignment="1">
      <alignment vertical="center" wrapText="1"/>
    </xf>
    <xf numFmtId="0" fontId="3" fillId="2" borderId="26" xfId="0" applyFont="1" applyFill="1" applyBorder="1" applyAlignment="1">
      <alignment vertical="center"/>
    </xf>
    <xf numFmtId="0" fontId="3" fillId="2" borderId="23"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0" fillId="0" borderId="25" xfId="0" applyBorder="1" applyAlignment="1">
      <alignment horizontal="center" vertical="center"/>
    </xf>
    <xf numFmtId="0" fontId="0" fillId="0" borderId="30" xfId="0"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6" fillId="0" borderId="16"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43" xfId="0" applyFont="1" applyBorder="1" applyAlignment="1" applyProtection="1">
      <alignment horizontal="center" vertical="center"/>
      <protection locked="0"/>
    </xf>
    <xf numFmtId="0" fontId="6" fillId="0" borderId="44"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36" fillId="0" borderId="2" xfId="0" applyFont="1" applyBorder="1" applyAlignment="1">
      <alignment horizontal="center" vertical="distributed"/>
    </xf>
    <xf numFmtId="0" fontId="36" fillId="0" borderId="3" xfId="0" applyFont="1" applyBorder="1" applyAlignment="1">
      <alignment horizontal="center" vertical="distributed"/>
    </xf>
    <xf numFmtId="0" fontId="5" fillId="0" borderId="4" xfId="0" applyFont="1" applyBorder="1" applyAlignment="1">
      <alignment horizontal="center" vertical="center"/>
    </xf>
    <xf numFmtId="0" fontId="5" fillId="0" borderId="5" xfId="0" applyFont="1" applyBorder="1" applyAlignment="1">
      <alignment horizontal="center" vertical="center"/>
    </xf>
    <xf numFmtId="14" fontId="6" fillId="0" borderId="6" xfId="0" applyNumberFormat="1" applyFont="1" applyBorder="1" applyAlignment="1" applyProtection="1">
      <alignment horizontal="center" vertical="center"/>
      <protection locked="0"/>
    </xf>
    <xf numFmtId="14" fontId="6" fillId="0" borderId="7" xfId="0" applyNumberFormat="1" applyFont="1" applyBorder="1" applyAlignment="1" applyProtection="1">
      <alignment horizontal="center" vertical="center"/>
      <protection locked="0"/>
    </xf>
    <xf numFmtId="14" fontId="6" fillId="0" borderId="8" xfId="0" applyNumberFormat="1" applyFont="1" applyBorder="1" applyAlignment="1" applyProtection="1">
      <alignment horizontal="center" vertical="center"/>
      <protection locked="0"/>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6" fillId="0" borderId="9"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5" fillId="0" borderId="16"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xf>
    <xf numFmtId="0" fontId="5" fillId="0" borderId="0" xfId="0" applyFont="1" applyAlignment="1">
      <alignment horizontal="left" vertical="center"/>
    </xf>
    <xf numFmtId="0" fontId="22" fillId="0" borderId="22" xfId="0" applyFont="1" applyBorder="1" applyAlignment="1">
      <alignment horizontal="left" vertical="center" wrapText="1"/>
    </xf>
    <xf numFmtId="0" fontId="22" fillId="0" borderId="19" xfId="0" applyFont="1" applyBorder="1" applyAlignment="1">
      <alignment horizontal="left" vertical="center" wrapText="1"/>
    </xf>
    <xf numFmtId="0" fontId="6" fillId="0" borderId="24" xfId="0" applyFont="1" applyBorder="1" applyAlignment="1" applyProtection="1">
      <alignment horizontal="center" vertical="center" wrapText="1"/>
      <protection locked="0"/>
    </xf>
    <xf numFmtId="0" fontId="3" fillId="0" borderId="23" xfId="0" applyFont="1" applyBorder="1" applyAlignment="1">
      <alignment vertical="center"/>
    </xf>
    <xf numFmtId="0" fontId="3" fillId="0" borderId="20" xfId="0" applyFont="1" applyBorder="1" applyAlignment="1">
      <alignment vertical="center"/>
    </xf>
    <xf numFmtId="0" fontId="3" fillId="0" borderId="21" xfId="0" applyFont="1" applyBorder="1" applyAlignment="1">
      <alignment vertical="center"/>
    </xf>
    <xf numFmtId="164" fontId="3" fillId="0" borderId="23" xfId="0" applyNumberFormat="1" applyFont="1" applyBorder="1" applyAlignment="1">
      <alignment horizontal="center" vertical="center" wrapText="1"/>
    </xf>
    <xf numFmtId="164" fontId="3" fillId="0" borderId="21" xfId="0" applyNumberFormat="1" applyFont="1" applyBorder="1" applyAlignment="1">
      <alignment horizontal="center" vertical="center" wrapText="1"/>
    </xf>
    <xf numFmtId="164" fontId="1" fillId="5" borderId="23" xfId="1" applyNumberFormat="1" applyFont="1" applyFill="1" applyBorder="1" applyAlignment="1" applyProtection="1">
      <alignment horizontal="center" vertical="center"/>
    </xf>
    <xf numFmtId="164" fontId="1" fillId="5" borderId="21" xfId="1" applyNumberFormat="1" applyFont="1" applyFill="1" applyBorder="1" applyAlignment="1" applyProtection="1">
      <alignment horizontal="center" vertical="center"/>
    </xf>
    <xf numFmtId="164" fontId="3" fillId="0" borderId="25" xfId="0" applyNumberFormat="1" applyFont="1" applyBorder="1" applyAlignment="1" applyProtection="1">
      <alignment horizontal="center" vertical="center" wrapText="1"/>
      <protection locked="0"/>
    </xf>
    <xf numFmtId="164" fontId="3" fillId="0" borderId="30" xfId="0" applyNumberFormat="1" applyFont="1" applyBorder="1" applyAlignment="1" applyProtection="1">
      <alignment horizontal="center" vertical="center" wrapText="1"/>
      <protection locked="0"/>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6" fillId="0" borderId="36" xfId="0" applyFont="1" applyBorder="1" applyAlignment="1">
      <alignment horizontal="center"/>
    </xf>
    <xf numFmtId="0" fontId="6" fillId="0" borderId="0" xfId="0" applyFont="1" applyAlignment="1">
      <alignment horizontal="center"/>
    </xf>
    <xf numFmtId="0" fontId="3" fillId="0" borderId="0" xfId="0" applyFont="1" applyAlignment="1">
      <alignment horizontal="center"/>
    </xf>
    <xf numFmtId="0" fontId="0" fillId="0" borderId="33" xfId="0" applyBorder="1" applyAlignment="1">
      <alignment horizontal="center"/>
    </xf>
    <xf numFmtId="0" fontId="0" fillId="0" borderId="0" xfId="0" applyAlignment="1">
      <alignment horizontal="left" vertical="center"/>
    </xf>
    <xf numFmtId="0" fontId="5" fillId="0" borderId="0" xfId="0" applyFont="1" applyAlignment="1">
      <alignment horizontal="center" vertical="center" wrapText="1"/>
    </xf>
    <xf numFmtId="0" fontId="0" fillId="0" borderId="45" xfId="0" quotePrefix="1" applyBorder="1" applyAlignment="1">
      <alignment horizontal="center"/>
    </xf>
    <xf numFmtId="0" fontId="0" fillId="0" borderId="45" xfId="0" applyBorder="1" applyAlignment="1">
      <alignment horizontal="center"/>
    </xf>
    <xf numFmtId="3" fontId="6" fillId="0" borderId="0" xfId="0" applyNumberFormat="1" applyFont="1" applyAlignment="1">
      <alignment horizontal="center" wrapText="1"/>
    </xf>
    <xf numFmtId="0" fontId="6" fillId="0" borderId="0" xfId="0" applyFont="1" applyAlignment="1">
      <alignment horizontal="center" wrapText="1"/>
    </xf>
    <xf numFmtId="0" fontId="6" fillId="0" borderId="36" xfId="0" applyFont="1" applyBorder="1" applyAlignment="1">
      <alignment horizontal="left" vertical="top" wrapText="1" indent="1"/>
    </xf>
    <xf numFmtId="0" fontId="6" fillId="0" borderId="0" xfId="0" applyFont="1" applyAlignment="1">
      <alignment horizontal="left" vertical="top" wrapText="1" indent="1"/>
    </xf>
    <xf numFmtId="0" fontId="6" fillId="0" borderId="35" xfId="0" applyFont="1" applyBorder="1" applyAlignment="1">
      <alignment horizontal="left" vertical="top" wrapText="1" indent="1"/>
    </xf>
    <xf numFmtId="0" fontId="6" fillId="0" borderId="37" xfId="0" applyFont="1" applyBorder="1" applyAlignment="1">
      <alignment horizontal="left" vertical="top" wrapText="1" indent="1"/>
    </xf>
    <xf numFmtId="0" fontId="6" fillId="0" borderId="33" xfId="0" applyFont="1" applyBorder="1" applyAlignment="1">
      <alignment horizontal="left" vertical="top" wrapText="1" indent="1"/>
    </xf>
    <xf numFmtId="0" fontId="6" fillId="0" borderId="38" xfId="0" applyFont="1" applyBorder="1" applyAlignment="1">
      <alignment horizontal="left" vertical="top" wrapText="1" indent="1"/>
    </xf>
    <xf numFmtId="49" fontId="8" fillId="0" borderId="0" xfId="0" applyNumberFormat="1" applyFont="1" applyAlignment="1">
      <alignment horizontal="center" vertical="center" wrapText="1"/>
    </xf>
    <xf numFmtId="49" fontId="8" fillId="0" borderId="0" xfId="0" applyNumberFormat="1" applyFont="1" applyAlignment="1">
      <alignment horizontal="center" wrapText="1"/>
    </xf>
    <xf numFmtId="0" fontId="8" fillId="0" borderId="33" xfId="0" applyFont="1" applyBorder="1" applyAlignment="1">
      <alignment horizont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9" fillId="0" borderId="30" xfId="0" applyFont="1" applyBorder="1" applyAlignment="1">
      <alignment horizontal="center" vertical="center" wrapText="1"/>
    </xf>
    <xf numFmtId="0" fontId="39" fillId="0" borderId="24" xfId="0" applyFont="1" applyBorder="1" applyAlignment="1">
      <alignment horizontal="center" vertical="center" wrapText="1"/>
    </xf>
    <xf numFmtId="0" fontId="8" fillId="0" borderId="24" xfId="0" applyFont="1" applyBorder="1" applyAlignment="1">
      <alignment horizontal="center" vertical="center" wrapText="1"/>
    </xf>
  </cellXfs>
  <cellStyles count="4">
    <cellStyle name="Comma" xfId="1" builtinId="3"/>
    <cellStyle name="Currency" xfId="3" builtinId="4"/>
    <cellStyle name="Hyperlink" xfId="2" builtinId="8"/>
    <cellStyle name="Normal" xfId="0" builtinId="0"/>
  </cellStyles>
  <dxfs count="17">
    <dxf>
      <fill>
        <patternFill>
          <bgColor theme="2"/>
        </patternFill>
      </fill>
    </dxf>
    <dxf>
      <fill>
        <patternFill>
          <bgColor theme="4" tint="0.79998168889431442"/>
        </patternFill>
      </fill>
    </dxf>
    <dxf>
      <fill>
        <patternFill>
          <bgColor theme="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2"/>
        </patternFill>
      </fill>
    </dxf>
    <dxf>
      <fill>
        <patternFill>
          <bgColor theme="4" tint="0.79998168889431442"/>
        </patternFill>
      </fill>
    </dxf>
    <dxf>
      <fill>
        <patternFill>
          <bgColor theme="5" tint="0.59996337778862885"/>
        </patternFill>
      </fill>
    </dxf>
    <dxf>
      <fill>
        <patternFill>
          <bgColor theme="5" tint="0.59996337778862885"/>
        </patternFill>
      </fill>
    </dxf>
    <dxf>
      <fill>
        <patternFill>
          <bgColor theme="2"/>
        </patternFill>
      </fill>
    </dxf>
    <dxf>
      <fill>
        <patternFill>
          <bgColor theme="4" tint="0.79998168889431442"/>
        </patternFill>
      </fill>
    </dxf>
    <dxf>
      <fill>
        <patternFill>
          <bgColor theme="5" tint="0.59996337778862885"/>
        </patternFill>
      </fill>
    </dxf>
    <dxf>
      <fill>
        <patternFill>
          <bgColor theme="2"/>
        </patternFill>
      </fill>
    </dxf>
    <dxf>
      <fill>
        <patternFill>
          <bgColor theme="4" tint="0.79998168889431442"/>
        </patternFill>
      </fill>
    </dxf>
    <dxf>
      <fill>
        <patternFill>
          <bgColor theme="2"/>
        </patternFill>
      </fill>
    </dxf>
    <dxf>
      <fill>
        <patternFill>
          <bgColor theme="4" tint="0.79998168889431442"/>
        </patternFill>
      </fill>
    </dxf>
  </dxfs>
  <tableStyles count="0" defaultTableStyle="TableStyleMedium2" defaultPivotStyle="PivotStyleLight16"/>
  <colors>
    <mruColors>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drawings/drawing1.xml><?xml version="1.0" encoding="utf-8"?>
<xdr:wsDr xmlns:xdr="http://schemas.openxmlformats.org/drawingml/2006/spreadsheetDrawing" xmlns:a="http://schemas.openxmlformats.org/drawingml/2006/main">
  <xdr:twoCellAnchor>
    <xdr:from>
      <xdr:col>9</xdr:col>
      <xdr:colOff>269875</xdr:colOff>
      <xdr:row>42</xdr:row>
      <xdr:rowOff>116205</xdr:rowOff>
    </xdr:from>
    <xdr:to>
      <xdr:col>14</xdr:col>
      <xdr:colOff>245745</xdr:colOff>
      <xdr:row>42</xdr:row>
      <xdr:rowOff>127000</xdr:rowOff>
    </xdr:to>
    <xdr:cxnSp macro="">
      <xdr:nvCxnSpPr>
        <xdr:cNvPr id="2" name="Straight Arrow Connector 1">
          <a:extLst>
            <a:ext uri="{FF2B5EF4-FFF2-40B4-BE49-F238E27FC236}">
              <a16:creationId xmlns:a16="http://schemas.microsoft.com/office/drawing/2014/main" id="{00000000-0008-0000-0100-000002000000}"/>
            </a:ext>
          </a:extLst>
        </xdr:cNvPr>
        <xdr:cNvCxnSpPr/>
      </xdr:nvCxnSpPr>
      <xdr:spPr>
        <a:xfrm flipV="1">
          <a:off x="5556250" y="22642830"/>
          <a:ext cx="4928870" cy="10795"/>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301625</xdr:colOff>
      <xdr:row>43</xdr:row>
      <xdr:rowOff>142875</xdr:rowOff>
    </xdr:from>
    <xdr:to>
      <xdr:col>14</xdr:col>
      <xdr:colOff>258445</xdr:colOff>
      <xdr:row>43</xdr:row>
      <xdr:rowOff>143980</xdr:rowOff>
    </xdr:to>
    <xdr:cxnSp macro="">
      <xdr:nvCxnSpPr>
        <xdr:cNvPr id="3" name="Straight Arrow Connector 2">
          <a:extLst>
            <a:ext uri="{FF2B5EF4-FFF2-40B4-BE49-F238E27FC236}">
              <a16:creationId xmlns:a16="http://schemas.microsoft.com/office/drawing/2014/main" id="{00000000-0008-0000-0100-000003000000}"/>
            </a:ext>
          </a:extLst>
        </xdr:cNvPr>
        <xdr:cNvCxnSpPr/>
      </xdr:nvCxnSpPr>
      <xdr:spPr>
        <a:xfrm>
          <a:off x="7572375" y="22987000"/>
          <a:ext cx="2925445" cy="1105"/>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793750</xdr:colOff>
      <xdr:row>44</xdr:row>
      <xdr:rowOff>120653</xdr:rowOff>
    </xdr:from>
    <xdr:to>
      <xdr:col>14</xdr:col>
      <xdr:colOff>245749</xdr:colOff>
      <xdr:row>44</xdr:row>
      <xdr:rowOff>127000</xdr:rowOff>
    </xdr:to>
    <xdr:cxnSp macro="">
      <xdr:nvCxnSpPr>
        <xdr:cNvPr id="4" name="Straight Arrow Connector 3">
          <a:extLst>
            <a:ext uri="{FF2B5EF4-FFF2-40B4-BE49-F238E27FC236}">
              <a16:creationId xmlns:a16="http://schemas.microsoft.com/office/drawing/2014/main" id="{00000000-0008-0000-0100-000004000000}"/>
            </a:ext>
          </a:extLst>
        </xdr:cNvPr>
        <xdr:cNvCxnSpPr/>
      </xdr:nvCxnSpPr>
      <xdr:spPr>
        <a:xfrm flipV="1">
          <a:off x="5143500" y="23298153"/>
          <a:ext cx="5341624" cy="6347"/>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714375</xdr:colOff>
      <xdr:row>45</xdr:row>
      <xdr:rowOff>114303</xdr:rowOff>
    </xdr:from>
    <xdr:to>
      <xdr:col>14</xdr:col>
      <xdr:colOff>245763</xdr:colOff>
      <xdr:row>45</xdr:row>
      <xdr:rowOff>127000</xdr:rowOff>
    </xdr:to>
    <xdr:cxnSp macro="">
      <xdr:nvCxnSpPr>
        <xdr:cNvPr id="5" name="Straight Arrow Connector 4">
          <a:extLst>
            <a:ext uri="{FF2B5EF4-FFF2-40B4-BE49-F238E27FC236}">
              <a16:creationId xmlns:a16="http://schemas.microsoft.com/office/drawing/2014/main" id="{00000000-0008-0000-0100-000005000000}"/>
            </a:ext>
          </a:extLst>
        </xdr:cNvPr>
        <xdr:cNvCxnSpPr/>
      </xdr:nvCxnSpPr>
      <xdr:spPr>
        <a:xfrm flipV="1">
          <a:off x="6921500" y="23593428"/>
          <a:ext cx="3563638" cy="12697"/>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301625</xdr:colOff>
      <xdr:row>46</xdr:row>
      <xdr:rowOff>120655</xdr:rowOff>
    </xdr:from>
    <xdr:to>
      <xdr:col>14</xdr:col>
      <xdr:colOff>258463</xdr:colOff>
      <xdr:row>46</xdr:row>
      <xdr:rowOff>142875</xdr:rowOff>
    </xdr:to>
    <xdr:cxnSp macro="">
      <xdr:nvCxnSpPr>
        <xdr:cNvPr id="6" name="Straight Arrow Connector 5">
          <a:extLst>
            <a:ext uri="{FF2B5EF4-FFF2-40B4-BE49-F238E27FC236}">
              <a16:creationId xmlns:a16="http://schemas.microsoft.com/office/drawing/2014/main" id="{00000000-0008-0000-0100-000006000000}"/>
            </a:ext>
          </a:extLst>
        </xdr:cNvPr>
        <xdr:cNvCxnSpPr/>
      </xdr:nvCxnSpPr>
      <xdr:spPr>
        <a:xfrm flipV="1">
          <a:off x="7572375" y="23933155"/>
          <a:ext cx="2925463" cy="22220"/>
        </a:xfrm>
        <a:prstGeom prst="straightConnector1">
          <a:avLst/>
        </a:prstGeom>
        <a:noFill/>
        <a:ln w="12700" cap="flat" cmpd="sng" algn="ctr">
          <a:solidFill>
            <a:srgbClr val="FF0000"/>
          </a:solidFill>
          <a:prstDash val="solid"/>
          <a:tailEnd type="arrow"/>
        </a:ln>
        <a:effectLst/>
      </xdr:spPr>
    </xdr:cxnSp>
    <xdr:clientData/>
  </xdr:twoCellAnchor>
  <xdr:twoCellAnchor>
    <xdr:from>
      <xdr:col>5</xdr:col>
      <xdr:colOff>513521</xdr:colOff>
      <xdr:row>38</xdr:row>
      <xdr:rowOff>273326</xdr:rowOff>
    </xdr:from>
    <xdr:to>
      <xdr:col>8</xdr:col>
      <xdr:colOff>472107</xdr:colOff>
      <xdr:row>38</xdr:row>
      <xdr:rowOff>273328</xdr:rowOff>
    </xdr:to>
    <xdr:cxnSp macro="">
      <xdr:nvCxnSpPr>
        <xdr:cNvPr id="7" name="Straight Arrow Connector 6">
          <a:extLst>
            <a:ext uri="{FF2B5EF4-FFF2-40B4-BE49-F238E27FC236}">
              <a16:creationId xmlns:a16="http://schemas.microsoft.com/office/drawing/2014/main" id="{00000000-0008-0000-0100-000007000000}"/>
            </a:ext>
          </a:extLst>
        </xdr:cNvPr>
        <xdr:cNvCxnSpPr/>
      </xdr:nvCxnSpPr>
      <xdr:spPr>
        <a:xfrm>
          <a:off x="3190046" y="13935351"/>
          <a:ext cx="1146036" cy="2"/>
        </a:xfrm>
        <a:prstGeom prst="straightConnector1">
          <a:avLst/>
        </a:prstGeom>
        <a:ln w="12700">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11</xdr:col>
      <xdr:colOff>76200</xdr:colOff>
      <xdr:row>47</xdr:row>
      <xdr:rowOff>365125</xdr:rowOff>
    </xdr:from>
    <xdr:to>
      <xdr:col>14</xdr:col>
      <xdr:colOff>255288</xdr:colOff>
      <xdr:row>47</xdr:row>
      <xdr:rowOff>381000</xdr:rowOff>
    </xdr:to>
    <xdr:cxnSp macro="">
      <xdr:nvCxnSpPr>
        <xdr:cNvPr id="8" name="Straight Arrow Connector 7">
          <a:extLst>
            <a:ext uri="{FF2B5EF4-FFF2-40B4-BE49-F238E27FC236}">
              <a16:creationId xmlns:a16="http://schemas.microsoft.com/office/drawing/2014/main" id="{F42BA2B0-D713-4D74-BD4A-71363B2590D7}"/>
            </a:ext>
          </a:extLst>
        </xdr:cNvPr>
        <xdr:cNvCxnSpPr/>
      </xdr:nvCxnSpPr>
      <xdr:spPr>
        <a:xfrm flipV="1">
          <a:off x="7346950" y="25114250"/>
          <a:ext cx="3147713" cy="15875"/>
        </a:xfrm>
        <a:prstGeom prst="straightConnector1">
          <a:avLst/>
        </a:prstGeom>
        <a:noFill/>
        <a:ln w="12700" cap="flat" cmpd="sng" algn="ctr">
          <a:solidFill>
            <a:srgbClr val="FF0000"/>
          </a:solidFill>
          <a:prstDash val="solid"/>
          <a:tailEnd type="arrow"/>
        </a:ln>
        <a:effectLst/>
      </xdr:spPr>
    </xdr:cxn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easternpennsylvaniaumc.freshdesk.com/support/solutions/articles/153000245595-clergy-compensation-guid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9ABD0-4B30-4982-BF5D-DA66C42A909C}">
  <sheetPr codeName="Sheet1"/>
  <dimension ref="A1:AV6"/>
  <sheetViews>
    <sheetView workbookViewId="0">
      <selection activeCell="A2" sqref="A2"/>
    </sheetView>
  </sheetViews>
  <sheetFormatPr defaultRowHeight="14.5" x14ac:dyDescent="0.35"/>
  <cols>
    <col min="1" max="1" width="12.26953125" bestFit="1" customWidth="1"/>
    <col min="2" max="2" width="29.90625" customWidth="1"/>
    <col min="3" max="3" width="30" customWidth="1"/>
    <col min="4" max="4" width="32.1796875" customWidth="1"/>
    <col min="5" max="5" width="10.6328125" bestFit="1" customWidth="1"/>
    <col min="6" max="6" width="34" customWidth="1"/>
    <col min="7" max="7" width="52.26953125" customWidth="1"/>
    <col min="8" max="8" width="14.26953125" bestFit="1" customWidth="1"/>
    <col min="9" max="9" width="24.90625" bestFit="1" customWidth="1"/>
    <col min="10" max="10" width="6.08984375" bestFit="1" customWidth="1"/>
    <col min="11" max="11" width="21.90625" bestFit="1" customWidth="1"/>
    <col min="12" max="12" width="17.54296875" bestFit="1" customWidth="1"/>
    <col min="13" max="13" width="17.7265625" bestFit="1" customWidth="1"/>
    <col min="14" max="14" width="21.26953125" customWidth="1"/>
    <col min="15" max="15" width="15.36328125" bestFit="1" customWidth="1"/>
    <col min="16" max="16" width="16.90625" bestFit="1" customWidth="1"/>
    <col min="17" max="17" width="23" bestFit="1" customWidth="1"/>
    <col min="18" max="18" width="19.08984375" customWidth="1"/>
    <col min="19" max="19" width="27.6328125" bestFit="1" customWidth="1"/>
    <col min="20" max="20" width="18.08984375" bestFit="1" customWidth="1"/>
    <col min="21" max="21" width="24.90625" bestFit="1" customWidth="1"/>
    <col min="22" max="22" width="10.7265625" bestFit="1" customWidth="1"/>
    <col min="23" max="23" width="18.36328125" bestFit="1" customWidth="1"/>
    <col min="24" max="24" width="23.26953125" bestFit="1" customWidth="1"/>
    <col min="25" max="25" width="22.54296875" customWidth="1"/>
    <col min="26" max="26" width="15.81640625" customWidth="1"/>
    <col min="27" max="27" width="18.54296875" bestFit="1" customWidth="1"/>
    <col min="28" max="28" width="13.453125" bestFit="1" customWidth="1"/>
    <col min="29" max="29" width="12.81640625" bestFit="1" customWidth="1"/>
    <col min="30" max="30" width="24.54296875" bestFit="1" customWidth="1"/>
    <col min="31" max="31" width="18.26953125" bestFit="1" customWidth="1"/>
    <col min="32" max="32" width="22.1796875" bestFit="1" customWidth="1"/>
    <col min="33" max="33" width="22.54296875" customWidth="1"/>
    <col min="34" max="34" width="12" customWidth="1"/>
    <col min="35" max="35" width="13" customWidth="1"/>
    <col min="36" max="36" width="15" bestFit="1" customWidth="1"/>
    <col min="37" max="37" width="18.1796875" customWidth="1"/>
    <col min="38" max="38" width="16.90625" bestFit="1" customWidth="1"/>
    <col min="39" max="39" width="13.36328125" bestFit="1" customWidth="1"/>
    <col min="40" max="40" width="15.26953125" bestFit="1" customWidth="1"/>
    <col min="41" max="41" width="21.81640625" bestFit="1" customWidth="1"/>
    <col min="42" max="42" width="23.26953125" bestFit="1" customWidth="1"/>
    <col min="43" max="43" width="18.54296875" bestFit="1" customWidth="1"/>
    <col min="44" max="44" width="24.81640625" bestFit="1" customWidth="1"/>
    <col min="45" max="45" width="16.6328125" bestFit="1" customWidth="1"/>
    <col min="46" max="46" width="10.453125" bestFit="1" customWidth="1"/>
    <col min="47" max="47" width="9.90625" bestFit="1" customWidth="1"/>
    <col min="48" max="48" width="14.81640625" bestFit="1" customWidth="1"/>
  </cols>
  <sheetData>
    <row r="1" spans="1:48" x14ac:dyDescent="0.35">
      <c r="A1" t="s">
        <v>0</v>
      </c>
      <c r="B1" t="s">
        <v>561</v>
      </c>
      <c r="C1" t="s">
        <v>1</v>
      </c>
      <c r="D1" t="s">
        <v>2</v>
      </c>
      <c r="E1" t="s">
        <v>3</v>
      </c>
      <c r="F1" t="s">
        <v>4</v>
      </c>
      <c r="G1" t="s">
        <v>5</v>
      </c>
      <c r="H1" t="s">
        <v>6</v>
      </c>
      <c r="I1" t="s">
        <v>562</v>
      </c>
      <c r="J1" t="s">
        <v>7</v>
      </c>
      <c r="K1" t="s">
        <v>70</v>
      </c>
      <c r="L1" t="s">
        <v>71</v>
      </c>
      <c r="M1" t="s">
        <v>72</v>
      </c>
      <c r="N1" t="s">
        <v>665</v>
      </c>
      <c r="O1" t="s">
        <v>74</v>
      </c>
      <c r="P1" t="s">
        <v>75</v>
      </c>
      <c r="Q1" t="s">
        <v>76</v>
      </c>
      <c r="R1" t="s">
        <v>667</v>
      </c>
      <c r="S1" t="s">
        <v>77</v>
      </c>
      <c r="T1" t="s">
        <v>78</v>
      </c>
      <c r="U1" t="s">
        <v>79</v>
      </c>
      <c r="V1" t="s">
        <v>80</v>
      </c>
      <c r="W1" t="s">
        <v>81</v>
      </c>
      <c r="X1" t="s">
        <v>82</v>
      </c>
      <c r="Y1" t="s">
        <v>668</v>
      </c>
      <c r="Z1" t="s">
        <v>669</v>
      </c>
      <c r="AA1" t="s">
        <v>670</v>
      </c>
      <c r="AB1" t="s">
        <v>671</v>
      </c>
      <c r="AC1" t="s">
        <v>672</v>
      </c>
      <c r="AD1" t="s">
        <v>83</v>
      </c>
      <c r="AE1" t="s">
        <v>84</v>
      </c>
      <c r="AF1" t="s">
        <v>673</v>
      </c>
      <c r="AG1" t="s">
        <v>674</v>
      </c>
      <c r="AH1" t="s">
        <v>85</v>
      </c>
      <c r="AI1" t="s">
        <v>73</v>
      </c>
      <c r="AJ1" t="s">
        <v>86</v>
      </c>
      <c r="AK1" t="s">
        <v>675</v>
      </c>
      <c r="AL1" t="s">
        <v>87</v>
      </c>
      <c r="AM1" t="s">
        <v>88</v>
      </c>
      <c r="AN1" t="s">
        <v>89</v>
      </c>
      <c r="AO1" t="s">
        <v>90</v>
      </c>
      <c r="AP1" t="s">
        <v>91</v>
      </c>
      <c r="AQ1" t="s">
        <v>92</v>
      </c>
      <c r="AR1" t="s">
        <v>676</v>
      </c>
      <c r="AS1" t="s">
        <v>677</v>
      </c>
      <c r="AT1" t="s">
        <v>69</v>
      </c>
      <c r="AU1" t="s">
        <v>678</v>
      </c>
      <c r="AV1" t="s">
        <v>679</v>
      </c>
    </row>
    <row r="2" spans="1:48" x14ac:dyDescent="0.35">
      <c r="A2" s="10" t="str">
        <f>IF('Comp Form'!C7="Church Name - Dropdown","",'Comp Form'!A2)</f>
        <v/>
      </c>
      <c r="B2" s="10" t="str">
        <f>IF(G2&lt;&gt;"","Greater New Jersey","")</f>
        <v/>
      </c>
      <c r="C2" t="str">
        <f>IF('Comp Form'!C7="Church Name - Dropdown","",'Comp Form'!L2)</f>
        <v/>
      </c>
      <c r="D2" t="str">
        <f>IF('Comp Form'!C7="Church Name - Dropdown","",'Comp Form'!A4)</f>
        <v/>
      </c>
      <c r="E2" t="str">
        <f>IF('Comp Form'!C7="Church Name - Dropdown","",'Comp Form'!F4)</f>
        <v/>
      </c>
      <c r="F2" t="str">
        <f>IF('Comp Form'!C7="Church Name - Dropdown","",'Comp Form'!K4)</f>
        <v/>
      </c>
      <c r="G2" t="str">
        <f>IF('Comp Form'!C7="Church Name - Dropdown","",'Comp Form'!C7)</f>
        <v/>
      </c>
      <c r="H2" t="str">
        <f>IF(G2="","",'Comp Form'!C8)</f>
        <v/>
      </c>
      <c r="I2" t="str">
        <f>IF(G2="","",'Comp Form'!C9)</f>
        <v/>
      </c>
      <c r="J2" t="str">
        <f>IF('Comp Form'!J12="","",'Comp Form'!J12)</f>
        <v/>
      </c>
      <c r="K2" t="str">
        <f>IF('Comp Form'!J16="","",'Comp Form'!J16)</f>
        <v/>
      </c>
      <c r="L2" t="str">
        <f>IF('Comp Form'!J17="","",'Comp Form'!J17)</f>
        <v/>
      </c>
      <c r="M2" t="str">
        <f>IF(G2="","",SUM(J2:L2))</f>
        <v/>
      </c>
      <c r="N2" t="str">
        <f>IF('Comp Form'!J20="","",'Comp Form'!J20)</f>
        <v/>
      </c>
      <c r="O2" t="str">
        <f>IF('Comp Form'!J21="","",'Comp Form'!J21)</f>
        <v/>
      </c>
      <c r="P2" t="str">
        <f>IF('Comp Form'!J24="","",'Comp Form'!J24)</f>
        <v/>
      </c>
      <c r="Q2" t="str">
        <f>IF(G2="","",SUM(N2:P2))</f>
        <v/>
      </c>
      <c r="R2" t="str">
        <f>IF('Comp Form'!J27="","",'Comp Form'!J27)</f>
        <v/>
      </c>
      <c r="S2" t="str">
        <f>IF('Comp Form'!J28="","",'Comp Form'!J28)</f>
        <v/>
      </c>
      <c r="T2" t="str">
        <f>IF(G2="","",SUM(M2,P2)-SUM(Q2,R2))</f>
        <v/>
      </c>
      <c r="U2" t="str">
        <f>IF(G2="","",M2-Q2)</f>
        <v/>
      </c>
      <c r="V2" t="str">
        <f>IF(G2="","",U2+Q2)</f>
        <v/>
      </c>
      <c r="W2" t="str">
        <f>IF(AND('Comp Form'!J39&gt;0,G2&lt;&gt;""),"Yes","")</f>
        <v/>
      </c>
      <c r="X2" t="str">
        <f>IF(G2="","",V2*0.25)</f>
        <v/>
      </c>
      <c r="Y2" t="str">
        <f>IF(AND('Comp Form'!P43&gt;0,G2&lt;&gt;""),"Yes","")</f>
        <v/>
      </c>
      <c r="Z2" t="str">
        <f>IF(AND('Comp Form'!P44&gt;0,G2&lt;&gt;""),"Yes","")</f>
        <v/>
      </c>
      <c r="AA2" t="str">
        <f>IF(AND('Comp Form'!P45&gt;0,G2&lt;&gt;""),"Yes","")</f>
        <v/>
      </c>
      <c r="AB2" t="str">
        <f>IF(AND('Comp Form'!P46&gt;0,G2&lt;&gt;""),"Yes","")</f>
        <v/>
      </c>
      <c r="AC2" t="str">
        <f>IF(AND('Comp Form'!P47&gt;0,G2&lt;&gt;""),"Yes","")</f>
        <v/>
      </c>
      <c r="AD2" t="str">
        <f>IF('Comp Form'!J49="","",'Comp Form'!J49)</f>
        <v/>
      </c>
      <c r="AE2" t="str">
        <f>IF(G2="","",'Comp Form'!J50)</f>
        <v/>
      </c>
      <c r="AF2" t="str">
        <f>IF(G2="","",'Comp Form'!J51)</f>
        <v/>
      </c>
      <c r="AG2" t="str">
        <f>IF(G2="","",'Comp Form'!J52)</f>
        <v/>
      </c>
      <c r="AH2" t="str">
        <f>IF(G2="","",'Comp Form'!J53)</f>
        <v/>
      </c>
      <c r="AI2" t="str">
        <f>IF(G2="","",'Comp Form'!J54)</f>
        <v/>
      </c>
      <c r="AJ2" t="str">
        <f>IF(G2="","",'Comp Form'!J55)</f>
        <v/>
      </c>
      <c r="AK2" t="str">
        <f>IF(G2="","",'Comp Form'!J56)</f>
        <v/>
      </c>
      <c r="AL2" t="str">
        <f>IF(G2="","",'Comp Form'!J57)</f>
        <v/>
      </c>
      <c r="AM2" t="str">
        <f>IF('Comp Form'!J59="","",'Comp Form'!J59)</f>
        <v/>
      </c>
      <c r="AN2" t="str">
        <f>IF('Comp Form'!J60="","",'Comp Form'!J60)</f>
        <v/>
      </c>
      <c r="AO2" t="str">
        <f>IF('Comp Form'!J61="","",'Comp Form'!J61)</f>
        <v/>
      </c>
      <c r="AP2" t="str">
        <f>IF(G2="","",'Comp Form'!J62)</f>
        <v/>
      </c>
      <c r="AQ2" t="str">
        <f>IF(G2="","",'Comp Form'!J64)</f>
        <v/>
      </c>
      <c r="AR2" t="str">
        <f>IF(G2="","",'Comp Form'!J67)</f>
        <v/>
      </c>
      <c r="AS2" t="str">
        <f>IF(G2="","",'Comp Form'!J68)</f>
        <v/>
      </c>
      <c r="AT2" t="str">
        <f>IF(G2="","",'Comp Form'!J69)</f>
        <v/>
      </c>
      <c r="AU2" t="str">
        <f>IF(G2="","",'Comp Form'!J70)</f>
        <v/>
      </c>
      <c r="AV2" t="str">
        <f>IF(G2="","",'Comp Form'!J71)</f>
        <v/>
      </c>
    </row>
    <row r="3" spans="1:48" x14ac:dyDescent="0.35">
      <c r="A3" s="10" t="str">
        <f>IF('Comp Form'!F7="Church Name - Dropdown","",'Comp Form'!A2)</f>
        <v/>
      </c>
      <c r="B3" s="10" t="str">
        <f t="shared" ref="B3:B6" si="0">IF(G3&lt;&gt;"","Greater New Jersey","")</f>
        <v/>
      </c>
      <c r="C3" t="str">
        <f>IF('Comp Form'!F7="Church Name - Dropdown","",'Comp Form'!L2)</f>
        <v/>
      </c>
      <c r="D3" t="str">
        <f>IF('Comp Form'!F7="Church Name - Dropdown","",'Comp Form'!A4)</f>
        <v/>
      </c>
      <c r="E3" t="str">
        <f>IF('Comp Form'!F7="Church Name - Dropdown","",'Comp Form'!F4)</f>
        <v/>
      </c>
      <c r="F3" t="str">
        <f>IF('Comp Form'!F7="Church Name - Dropdown","",'Comp Form'!K4)</f>
        <v/>
      </c>
      <c r="G3" t="str">
        <f>IF('Comp Form'!F7="Church Name - Dropdown","",'Comp Form'!F7)</f>
        <v/>
      </c>
      <c r="H3" t="str">
        <f>IF(G3="","",'Comp Form'!F8)</f>
        <v/>
      </c>
      <c r="I3" t="str">
        <f>IF(G3="","",'Comp Form'!F9)</f>
        <v/>
      </c>
      <c r="J3" t="str">
        <f>IF('Comp Form'!K12="","",'Comp Form'!K12)</f>
        <v/>
      </c>
      <c r="K3" t="str">
        <f>IF('Comp Form'!K16="","",'Comp Form'!K16)</f>
        <v/>
      </c>
      <c r="L3" t="str">
        <f>IF('Comp Form'!K17="","",'Comp Form'!K17)</f>
        <v/>
      </c>
      <c r="M3" t="str">
        <f>IF(G3="","",SUM(J3:L3))</f>
        <v/>
      </c>
      <c r="N3" t="str">
        <f>IF('Comp Form'!K20="","",'Comp Form'!K20)</f>
        <v/>
      </c>
      <c r="O3" t="str">
        <f>IF('Comp Form'!K21="","",'Comp Form'!K21)</f>
        <v/>
      </c>
      <c r="P3" t="str">
        <f>IF('Comp Form'!K24="","",'Comp Form'!K24)</f>
        <v/>
      </c>
      <c r="Q3" t="str">
        <f>IF(G3="","",SUM(N3:P3))</f>
        <v/>
      </c>
      <c r="R3" t="str">
        <f>IF('Comp Form'!K27="","",'Comp Form'!K27)</f>
        <v/>
      </c>
      <c r="S3" t="str">
        <f>IF('Comp Form'!K28="","",'Comp Form'!K28)</f>
        <v/>
      </c>
      <c r="T3" t="str">
        <f>IF(G3="","",SUM(M3,P3)-SUM(Q3,R3))</f>
        <v/>
      </c>
      <c r="U3" t="str">
        <f>IF(G3="","",M3-Q3)</f>
        <v/>
      </c>
      <c r="V3" t="str">
        <f>IF(G3="","",U3+Q3)</f>
        <v/>
      </c>
      <c r="W3" t="str">
        <f>IF(AND('Comp Form'!K39&gt;0,G3&lt;&gt;""),"Yes","")</f>
        <v/>
      </c>
      <c r="X3" t="str">
        <f>IF(G3="","",V3*0.25)</f>
        <v/>
      </c>
      <c r="Y3" t="str">
        <f>IF(AND('Comp Form'!P43&gt;0,G3&lt;&gt;""),"Yes","")</f>
        <v/>
      </c>
      <c r="Z3" t="str">
        <f>IF(AND('Comp Form'!P44&gt;0,G3&lt;&gt;""),"Yes","")</f>
        <v/>
      </c>
      <c r="AA3" t="str">
        <f>IF(AND('Comp Form'!P45&gt;0,G3&lt;&gt;""),"Yes","")</f>
        <v/>
      </c>
      <c r="AB3" t="str">
        <f>IF(AND('Comp Form'!P46&gt;0,G3&lt;&gt;""),"Yes","")</f>
        <v/>
      </c>
      <c r="AC3" t="str">
        <f>IF(AND('Comp Form'!P47&gt;0,G3&lt;&gt;""),"Yes","")</f>
        <v/>
      </c>
      <c r="AD3" t="str">
        <f>IF('Comp Form'!K49="","",'Comp Form'!K49)</f>
        <v/>
      </c>
      <c r="AE3" t="str">
        <f>IF(G3="","",'Comp Form'!K50)</f>
        <v/>
      </c>
      <c r="AF3" t="str">
        <f>IF(G3="","",'Comp Form'!K51)</f>
        <v/>
      </c>
      <c r="AG3" t="str">
        <f>IF(G3="","",'Comp Form'!K52)</f>
        <v/>
      </c>
      <c r="AH3" t="str">
        <f>IF(G3="","",'Comp Form'!K53)</f>
        <v/>
      </c>
      <c r="AI3" t="str">
        <f>IF(G3="","",'Comp Form'!K54)</f>
        <v/>
      </c>
      <c r="AJ3" t="str">
        <f>IF(G3="","",'Comp Form'!K55)</f>
        <v/>
      </c>
      <c r="AK3" t="str">
        <f>IF(G3="","",'Comp Form'!K56)</f>
        <v/>
      </c>
      <c r="AL3" t="str">
        <f>IF(G3="","",'Comp Form'!K57)</f>
        <v/>
      </c>
      <c r="AM3" t="str">
        <f>IF('Comp Form'!K59="","",'Comp Form'!K59)</f>
        <v/>
      </c>
      <c r="AN3" t="str">
        <f>IF('Comp Form'!K60="","",'Comp Form'!K60)</f>
        <v/>
      </c>
      <c r="AO3" t="str">
        <f>IF('Comp Form'!K61="","",'Comp Form'!K61)</f>
        <v/>
      </c>
      <c r="AP3" t="str">
        <f>IF(G3="","",'Comp Form'!K62)</f>
        <v/>
      </c>
      <c r="AQ3" t="str">
        <f>IF(G3="","",'Comp Form'!K64)</f>
        <v/>
      </c>
      <c r="AR3" t="str">
        <f>IF(G3="","",'Comp Form'!K67)</f>
        <v/>
      </c>
      <c r="AS3" t="str">
        <f>IF(G3="","",'Comp Form'!K68)</f>
        <v/>
      </c>
      <c r="AT3" t="str">
        <f>IF(G3="","",'Comp Form'!K69)</f>
        <v/>
      </c>
      <c r="AU3" t="str">
        <f>IF(G3="","",'Comp Form'!K70)</f>
        <v/>
      </c>
      <c r="AV3" t="str">
        <f>IF(G3="","",'Comp Form'!K71)</f>
        <v/>
      </c>
    </row>
    <row r="4" spans="1:48" x14ac:dyDescent="0.35">
      <c r="A4" s="10" t="str">
        <f>IF('Comp Form'!J7="Church Name - Dropdown","",'Comp Form'!A2)</f>
        <v/>
      </c>
      <c r="B4" s="10" t="str">
        <f t="shared" si="0"/>
        <v/>
      </c>
      <c r="C4" t="str">
        <f>IF('Comp Form'!J7="Church Name - Dropdown","",'Comp Form'!L2)</f>
        <v/>
      </c>
      <c r="D4" t="str">
        <f>IF('Comp Form'!J7="Church Name - Dropdown","",'Comp Form'!A4)</f>
        <v/>
      </c>
      <c r="E4" t="str">
        <f>IF('Comp Form'!J7="Church Name - Dropdown","",'Comp Form'!F4)</f>
        <v/>
      </c>
      <c r="F4" t="str">
        <f>IF('Comp Form'!J7="Church Name - Dropdown","",'Comp Form'!K4)</f>
        <v/>
      </c>
      <c r="G4" t="str">
        <f>IF('Comp Form'!J7="Church Name - Dropdown","",'Comp Form'!J7)</f>
        <v/>
      </c>
      <c r="H4" t="str">
        <f>IF(G4="","",'Comp Form'!J8)</f>
        <v/>
      </c>
      <c r="I4" t="str">
        <f>IF(G4="","",'Comp Form'!J9)</f>
        <v/>
      </c>
      <c r="J4" t="str">
        <f>IF('Comp Form'!L12="","",'Comp Form'!L12)</f>
        <v/>
      </c>
      <c r="K4" t="str">
        <f>IF('Comp Form'!L16="","",'Comp Form'!L16)</f>
        <v/>
      </c>
      <c r="L4" t="str">
        <f>IF('Comp Form'!L17="","",'Comp Form'!L17)</f>
        <v/>
      </c>
      <c r="M4" t="str">
        <f>IF(G4="","",SUM(J4:L4))</f>
        <v/>
      </c>
      <c r="N4" t="str">
        <f>IF('Comp Form'!L20="","",'Comp Form'!L20)</f>
        <v/>
      </c>
      <c r="O4" t="str">
        <f>IF('Comp Form'!L21="","",'Comp Form'!L21)</f>
        <v/>
      </c>
      <c r="P4" t="str">
        <f>IF('Comp Form'!L24="","",'Comp Form'!L24)</f>
        <v/>
      </c>
      <c r="Q4" t="str">
        <f>IF(G4="","",SUM(N4:P4))</f>
        <v/>
      </c>
      <c r="R4" t="str">
        <f>IF('Comp Form'!L27="","",'Comp Form'!L27)</f>
        <v/>
      </c>
      <c r="S4" t="str">
        <f>IF('Comp Form'!L28="","",'Comp Form'!L28)</f>
        <v/>
      </c>
      <c r="T4" t="str">
        <f>IF(G4="","",SUM(M4,P4)-SUM(Q4,R4))</f>
        <v/>
      </c>
      <c r="U4" t="str">
        <f>IF(G4="","",M4-Q4)</f>
        <v/>
      </c>
      <c r="V4" t="str">
        <f>IF(G4="","",U4+Q4)</f>
        <v/>
      </c>
      <c r="W4" t="str">
        <f>IF(AND('Comp Form'!L39&gt;0,G4&lt;&gt;""),"Yes","")</f>
        <v/>
      </c>
      <c r="X4" t="str">
        <f>IF(G4="","",V4*0.25)</f>
        <v/>
      </c>
      <c r="Y4" t="str">
        <f>IF(AND('Comp Form'!P43&gt;0,G4&lt;&gt;""),"Yes","")</f>
        <v/>
      </c>
      <c r="Z4" t="str">
        <f>IF(AND('Comp Form'!P44&gt;0,G4&lt;&gt;""),"Yes","")</f>
        <v/>
      </c>
      <c r="AA4" t="str">
        <f>IF(AND('Comp Form'!P45&gt;0,G4&lt;&gt;""),"Yes","")</f>
        <v/>
      </c>
      <c r="AB4" t="str">
        <f>IF(AND('Comp Form'!P46&gt;0,G4&lt;&gt;""),"Yes","")</f>
        <v/>
      </c>
      <c r="AC4" t="str">
        <f>IF(AND('Comp Form'!P47&gt;0,G4&lt;&gt;""),"Yes","")</f>
        <v/>
      </c>
      <c r="AD4" t="str">
        <f>IF('Comp Form'!L49="","",'Comp Form'!L49)</f>
        <v/>
      </c>
      <c r="AE4" t="str">
        <f>IF(G4="","",'Comp Form'!L50)</f>
        <v/>
      </c>
      <c r="AF4" t="str">
        <f>IF(G4="","",'Comp Form'!L51)</f>
        <v/>
      </c>
      <c r="AG4" t="str">
        <f>IF(G4="","",'Comp Form'!L52)</f>
        <v/>
      </c>
      <c r="AH4" t="str">
        <f>IF(G4="","",'Comp Form'!L53)</f>
        <v/>
      </c>
      <c r="AI4" t="str">
        <f>IF(G4="","",'Comp Form'!L54)</f>
        <v/>
      </c>
      <c r="AJ4" t="str">
        <f>IF(G4="","",'Comp Form'!L55)</f>
        <v/>
      </c>
      <c r="AK4" t="str">
        <f>IF(G4="","",'Comp Form'!L56)</f>
        <v/>
      </c>
      <c r="AL4" t="str">
        <f>IF(G4="","",'Comp Form'!L57)</f>
        <v/>
      </c>
      <c r="AM4" t="str">
        <f>IF('Comp Form'!L59="","",'Comp Form'!L59)</f>
        <v/>
      </c>
      <c r="AN4" t="str">
        <f>IF('Comp Form'!L60="","",'Comp Form'!L60)</f>
        <v/>
      </c>
      <c r="AO4" t="str">
        <f>IF('Comp Form'!L61="","",'Comp Form'!L61)</f>
        <v/>
      </c>
      <c r="AP4" t="str">
        <f>IF(G4="","",'Comp Form'!L62)</f>
        <v/>
      </c>
      <c r="AQ4" t="str">
        <f>IF(G4="","",'Comp Form'!L64)</f>
        <v/>
      </c>
      <c r="AR4" t="str">
        <f>IF(G4="","",'Comp Form'!L67)</f>
        <v/>
      </c>
      <c r="AS4" t="str">
        <f>IF(G4="","",'Comp Form'!L68)</f>
        <v/>
      </c>
      <c r="AT4" t="str">
        <f>IF(G4="","",'Comp Form'!L69)</f>
        <v/>
      </c>
      <c r="AU4" t="str">
        <f>IF(G4="","",'Comp Form'!L70)</f>
        <v/>
      </c>
      <c r="AV4" t="str">
        <f>IF(G4="","",'Comp Form'!L71)</f>
        <v/>
      </c>
    </row>
    <row r="5" spans="1:48" x14ac:dyDescent="0.35">
      <c r="A5" s="10" t="str">
        <f>IF('Comp Form'!M7="Church Name - Dropdown","",'Comp Form'!A2)</f>
        <v/>
      </c>
      <c r="B5" s="10" t="str">
        <f t="shared" si="0"/>
        <v/>
      </c>
      <c r="C5" t="str">
        <f>IF('Comp Form'!M7="Church Name - Dropdown","",'Comp Form'!L2)</f>
        <v/>
      </c>
      <c r="D5" t="str">
        <f>IF('Comp Form'!M7="Church Name - Dropdown","",'Comp Form'!A4)</f>
        <v/>
      </c>
      <c r="E5" t="str">
        <f>IF('Comp Form'!M7="Church Name - Dropdown","",'Comp Form'!F4)</f>
        <v/>
      </c>
      <c r="F5" t="str">
        <f>IF('Comp Form'!M7="Church Name - Dropdown","",'Comp Form'!K4)</f>
        <v/>
      </c>
      <c r="G5" t="str">
        <f>IF('Comp Form'!M7="Church Name - Dropdown","",'Comp Form'!M7)</f>
        <v/>
      </c>
      <c r="H5" t="str">
        <f>IF(G5="","",'Comp Form'!M8)</f>
        <v/>
      </c>
      <c r="I5" t="str">
        <f>IF(G5="","",'Comp Form'!M9)</f>
        <v/>
      </c>
      <c r="J5" t="str">
        <f>IF('Comp Form'!M12="","",'Comp Form'!M12)</f>
        <v/>
      </c>
      <c r="K5" t="str">
        <f>IF('Comp Form'!M16="","",'Comp Form'!M16)</f>
        <v/>
      </c>
      <c r="L5" t="str">
        <f>IF('Comp Form'!M17="","",'Comp Form'!M17)</f>
        <v/>
      </c>
      <c r="M5" t="str">
        <f>IF(G5="","",SUM(J5:L5))</f>
        <v/>
      </c>
      <c r="N5" t="str">
        <f>IF('Comp Form'!M20="","",'Comp Form'!M20)</f>
        <v/>
      </c>
      <c r="O5" t="str">
        <f>IF('Comp Form'!M21="","",'Comp Form'!M21)</f>
        <v/>
      </c>
      <c r="P5" t="str">
        <f>IF('Comp Form'!M24="","",'Comp Form'!M24)</f>
        <v/>
      </c>
      <c r="Q5" t="str">
        <f>IF(G5="","",SUM(N5:P5))</f>
        <v/>
      </c>
      <c r="R5" t="str">
        <f>IF('Comp Form'!M27="","",'Comp Form'!M27)</f>
        <v/>
      </c>
      <c r="S5" t="str">
        <f>IF('Comp Form'!M28="","",'Comp Form'!M28)</f>
        <v/>
      </c>
      <c r="T5" t="str">
        <f>IF(G5="","",SUM(M5,P5)-SUM(Q5,R5))</f>
        <v/>
      </c>
      <c r="U5" t="str">
        <f>IF(G5="","",M5-Q5)</f>
        <v/>
      </c>
      <c r="V5" t="str">
        <f>IF(G5="","",U5+Q5)</f>
        <v/>
      </c>
      <c r="W5" t="str">
        <f>IF(AND('Comp Form'!M39&gt;0,G5&lt;&gt;""),"Yes","")</f>
        <v/>
      </c>
      <c r="X5" t="str">
        <f>IF(G5="","",V5*0.25)</f>
        <v/>
      </c>
      <c r="Y5" t="str">
        <f>IF(AND('Comp Form'!P43&gt;0,G5&lt;&gt;""),"Yes","")</f>
        <v/>
      </c>
      <c r="Z5" t="str">
        <f>IF(AND('Comp Form'!P44&gt;0,G5&lt;&gt;""),"Yes","")</f>
        <v/>
      </c>
      <c r="AA5" t="str">
        <f>IF(AND('Comp Form'!P45&gt;0,G5&lt;&gt;""),"Yes","")</f>
        <v/>
      </c>
      <c r="AB5" t="str">
        <f>IF(AND('Comp Form'!P46&gt;0,G5&lt;&gt;""),"Yes","")</f>
        <v/>
      </c>
      <c r="AC5" t="str">
        <f>IF(AND('Comp Form'!P47&gt;0,G5&lt;&gt;""),"Yes","")</f>
        <v/>
      </c>
      <c r="AD5" t="str">
        <f>IF('Comp Form'!M49="","",'Comp Form'!M49)</f>
        <v/>
      </c>
      <c r="AE5" t="str">
        <f>IF(G5="","",'Comp Form'!M50)</f>
        <v/>
      </c>
      <c r="AF5" t="str">
        <f>IF(G5="","",'Comp Form'!M51)</f>
        <v/>
      </c>
      <c r="AG5" t="str">
        <f>IF(G5="","",'Comp Form'!M52)</f>
        <v/>
      </c>
      <c r="AH5" t="str">
        <f>IF(G5="","",'Comp Form'!M53)</f>
        <v/>
      </c>
      <c r="AI5" t="str">
        <f>IF(G5="","",'Comp Form'!M54)</f>
        <v/>
      </c>
      <c r="AJ5" t="str">
        <f>IF(G5="","",'Comp Form'!M55)</f>
        <v/>
      </c>
      <c r="AK5" t="str">
        <f>IF(G5="","",'Comp Form'!M56)</f>
        <v/>
      </c>
      <c r="AL5" t="str">
        <f>IF(G5="","",'Comp Form'!M57)</f>
        <v/>
      </c>
      <c r="AM5" t="str">
        <f>IF('Comp Form'!M59="","",'Comp Form'!M59)</f>
        <v/>
      </c>
      <c r="AN5" t="str">
        <f>IF('Comp Form'!M60="","",'Comp Form'!M60)</f>
        <v/>
      </c>
      <c r="AO5" t="str">
        <f>IF('Comp Form'!M61="","",'Comp Form'!M61)</f>
        <v/>
      </c>
      <c r="AP5" t="str">
        <f>IF(G4="","",'Comp Form'!M62)</f>
        <v/>
      </c>
      <c r="AQ5" t="str">
        <f>IF(G4="","",'Comp Form'!M64)</f>
        <v/>
      </c>
      <c r="AR5" t="str">
        <f>IF(G4="","",'Comp Form'!M67)</f>
        <v/>
      </c>
      <c r="AS5" t="str">
        <f>IF(G4="","",'Comp Form'!M68)</f>
        <v/>
      </c>
      <c r="AT5" t="str">
        <f>IF(G4="","",'Comp Form'!M69)</f>
        <v/>
      </c>
      <c r="AU5" t="str">
        <f>IF(G4="","",'Comp Form'!M70)</f>
        <v/>
      </c>
      <c r="AV5" t="str">
        <f>IF(G4="","",'Comp Form'!M71)</f>
        <v/>
      </c>
    </row>
    <row r="6" spans="1:48" x14ac:dyDescent="0.35">
      <c r="A6" s="10" t="str">
        <f>IF('Comp Form'!O7="Church Name - Dropdown","",'Comp Form'!A2)</f>
        <v/>
      </c>
      <c r="B6" s="10" t="str">
        <f t="shared" si="0"/>
        <v/>
      </c>
      <c r="C6" t="str">
        <f>IF('Comp Form'!O7="Church Name - Dropdown","",'Comp Form'!L2)</f>
        <v/>
      </c>
      <c r="D6" t="str">
        <f>IF('Comp Form'!O7="Church Name - Dropdown","",'Comp Form'!A4)</f>
        <v/>
      </c>
      <c r="E6" t="str">
        <f>IF('Comp Form'!O7="Church Name - Dropdown","",'Comp Form'!F4)</f>
        <v/>
      </c>
      <c r="F6" t="str">
        <f>IF('Comp Form'!O7="Church Name - Dropdown","",'Comp Form'!K4)</f>
        <v/>
      </c>
      <c r="G6" t="str">
        <f>IF('Comp Form'!O7="Church Name - Dropdown","",'Comp Form'!O7)</f>
        <v/>
      </c>
      <c r="H6" t="str">
        <f>IF(G6="","",'Comp Form'!O8)</f>
        <v/>
      </c>
      <c r="I6" t="str">
        <f>IF(G6="","",'Comp Form'!O9)</f>
        <v/>
      </c>
      <c r="J6" t="str">
        <f>IF('Comp Form'!N12="","",'Comp Form'!N12)</f>
        <v/>
      </c>
      <c r="K6" t="str">
        <f>IF('Comp Form'!N16="","",'Comp Form'!N16)</f>
        <v/>
      </c>
      <c r="L6" t="str">
        <f>IF('Comp Form'!N17="","",'Comp Form'!N17)</f>
        <v/>
      </c>
      <c r="M6" t="str">
        <f>IF(G6="","",SUM(J6:L6))</f>
        <v/>
      </c>
      <c r="N6" t="str">
        <f>IF('Comp Form'!N20="","",'Comp Form'!N20)</f>
        <v/>
      </c>
      <c r="O6" t="str">
        <f>IF('Comp Form'!N21="","",'Comp Form'!N21)</f>
        <v/>
      </c>
      <c r="P6" t="str">
        <f>IF('Comp Form'!N24="","",'Comp Form'!N24)</f>
        <v/>
      </c>
      <c r="Q6" t="str">
        <f>IF(G6="","",SUM(N6:P6))</f>
        <v/>
      </c>
      <c r="R6" t="str">
        <f>IF('Comp Form'!N27="","",'Comp Form'!N27)</f>
        <v/>
      </c>
      <c r="S6" t="str">
        <f>IF('Comp Form'!N28="","",'Comp Form'!N28)</f>
        <v/>
      </c>
      <c r="T6" t="str">
        <f>IF(G6="","",SUM(M6,P6)-SUM(Q6,R6))</f>
        <v/>
      </c>
      <c r="U6" t="str">
        <f>IF(G6="","",M6-Q6)</f>
        <v/>
      </c>
      <c r="V6" t="str">
        <f>IF(G6="","",U6+Q6)</f>
        <v/>
      </c>
      <c r="W6" t="str">
        <f>IF(AND('Comp Form'!N39&gt;0,G6&lt;&gt;""),"Yes","")</f>
        <v/>
      </c>
      <c r="X6" t="str">
        <f>IF(G6="","",V6*0.25)</f>
        <v/>
      </c>
      <c r="Y6" t="str">
        <f>IF(AND('Comp Form'!P43&gt;0,G6&lt;&gt;""),"Yes","")</f>
        <v/>
      </c>
      <c r="Z6" t="str">
        <f>IF(AND('Comp Form'!P44&gt;0,G6&lt;&gt;""),"Yes","")</f>
        <v/>
      </c>
      <c r="AA6" t="str">
        <f>IF(AND('Comp Form'!P45&gt;0,G6&lt;&gt;""),"Yes","")</f>
        <v/>
      </c>
      <c r="AB6" t="str">
        <f>IF(AND('Comp Form'!P46&gt;0,G6&lt;&gt;""),"Yes","")</f>
        <v/>
      </c>
      <c r="AC6" t="str">
        <f>IF(AND('Comp Form'!P47&gt;0,G6&lt;&gt;""),"Yes","")</f>
        <v/>
      </c>
      <c r="AD6" t="str">
        <f>IF('Comp Form'!N49="","",'Comp Form'!N49)</f>
        <v/>
      </c>
      <c r="AE6" t="str">
        <f>IF(G6="","",'Comp Form'!N50)</f>
        <v/>
      </c>
      <c r="AF6" t="str">
        <f>IF(G6="","",'Comp Form'!N51)</f>
        <v/>
      </c>
      <c r="AG6" t="str">
        <f>IF(G6="","",'Comp Form'!N52)</f>
        <v/>
      </c>
      <c r="AH6" t="str">
        <f>IF(G6="","",'Comp Form'!N53)</f>
        <v/>
      </c>
      <c r="AI6" t="str">
        <f>IF(G6="","",'Comp Form'!N54)</f>
        <v/>
      </c>
      <c r="AJ6" t="str">
        <f>IF(G6="","",'Comp Form'!N55)</f>
        <v/>
      </c>
      <c r="AK6" t="str">
        <f>IF(G6="","",'Comp Form'!N56)</f>
        <v/>
      </c>
      <c r="AL6" t="str">
        <f>IF(G6="","",'Comp Form'!N57)</f>
        <v/>
      </c>
      <c r="AM6" t="str">
        <f>IF('Comp Form'!N59="","",'Comp Form'!N59)</f>
        <v/>
      </c>
      <c r="AN6" t="str">
        <f>IF('Comp Form'!N60="","",'Comp Form'!N60)</f>
        <v/>
      </c>
      <c r="AO6" t="str">
        <f>IF('Comp Form'!N61="","",'Comp Form'!N61)</f>
        <v/>
      </c>
      <c r="AP6" t="str">
        <f>IF(G4="","",'Comp Form'!N62)</f>
        <v/>
      </c>
      <c r="AQ6" t="str">
        <f>IF(G4="","",'Comp Form'!N64)</f>
        <v/>
      </c>
      <c r="AR6" t="str">
        <f>IF(G4="","",'Comp Form'!N67)</f>
        <v/>
      </c>
      <c r="AS6" t="str">
        <f>IF(G4="","",'Comp Form'!N68)</f>
        <v/>
      </c>
      <c r="AT6" t="str">
        <f>IF(G4="","",'Comp Form'!N69)</f>
        <v/>
      </c>
      <c r="AU6" t="str">
        <f>IF(G4="","",'Comp Form'!N70)</f>
        <v/>
      </c>
      <c r="AV6" t="str">
        <f>IF(G4="","",'Comp Form'!N71)</f>
        <v/>
      </c>
    </row>
  </sheetData>
  <sheetProtection algorithmName="SHA-512" hashValue="Jef06F5I7Q83OjlpDEOaRvVwFLhVkyGjFRO15ltE0k0I5H6mWXTMZWzG+vQkw9pDPADJgNUyJNQNR9o9zwAXZA==" saltValue="mcPNo55gHEjiWmMOaIhmD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4B394-F5F7-4F1E-BBAA-D30858AE307A}">
  <sheetPr codeName="Sheet2">
    <pageSetUpPr fitToPage="1"/>
  </sheetPr>
  <dimension ref="A1:P168"/>
  <sheetViews>
    <sheetView tabSelected="1" zoomScaleNormal="100" workbookViewId="0">
      <selection activeCell="A4" sqref="A4:E4"/>
    </sheetView>
  </sheetViews>
  <sheetFormatPr defaultRowHeight="14.5" x14ac:dyDescent="0.35"/>
  <cols>
    <col min="1" max="1" width="5.54296875" customWidth="1"/>
    <col min="2" max="2" width="6" customWidth="1"/>
    <col min="3" max="3" width="9.1796875" customWidth="1"/>
    <col min="4" max="4" width="11.1796875" customWidth="1"/>
    <col min="5" max="5" width="13.54296875" customWidth="1"/>
    <col min="6" max="6" width="9.453125" customWidth="1"/>
    <col min="7" max="7" width="7" customWidth="1"/>
    <col min="8" max="8" width="0.7265625" customWidth="1"/>
    <col min="9" max="9" width="13.453125" customWidth="1"/>
    <col min="10" max="10" width="13.1796875" customWidth="1"/>
    <col min="11" max="11" width="15.1796875" customWidth="1"/>
    <col min="12" max="12" width="13.81640625" customWidth="1"/>
    <col min="13" max="13" width="14.81640625" customWidth="1"/>
    <col min="14" max="14" width="13.81640625" customWidth="1"/>
    <col min="15" max="15" width="4.81640625" customWidth="1"/>
    <col min="16" max="16" width="13.26953125" customWidth="1"/>
    <col min="19" max="19" width="15.1796875" bestFit="1" customWidth="1"/>
    <col min="20" max="20" width="14.81640625" bestFit="1" customWidth="1"/>
  </cols>
  <sheetData>
    <row r="1" spans="1:16" ht="17" x14ac:dyDescent="0.35">
      <c r="A1" s="247" t="s">
        <v>574</v>
      </c>
      <c r="B1" s="248"/>
      <c r="C1" s="248"/>
      <c r="D1" s="249"/>
      <c r="E1" s="250" t="s">
        <v>563</v>
      </c>
      <c r="F1" s="250"/>
      <c r="G1" s="250"/>
      <c r="H1" s="250"/>
      <c r="I1" s="250"/>
      <c r="J1" s="250"/>
      <c r="K1" s="251"/>
      <c r="L1" s="252" t="s">
        <v>575</v>
      </c>
      <c r="M1" s="248"/>
      <c r="N1" s="248"/>
      <c r="O1" s="248"/>
      <c r="P1" s="253"/>
    </row>
    <row r="2" spans="1:16" ht="32" customHeight="1" thickBot="1" x14ac:dyDescent="0.4">
      <c r="A2" s="254">
        <v>46023</v>
      </c>
      <c r="B2" s="255"/>
      <c r="C2" s="255"/>
      <c r="D2" s="256"/>
      <c r="E2" s="257" t="s">
        <v>8</v>
      </c>
      <c r="F2" s="257"/>
      <c r="G2" s="257"/>
      <c r="H2" s="257"/>
      <c r="I2" s="257"/>
      <c r="J2" s="257"/>
      <c r="K2" s="258"/>
      <c r="L2" s="259" t="s">
        <v>93</v>
      </c>
      <c r="M2" s="260"/>
      <c r="N2" s="260"/>
      <c r="O2" s="260"/>
      <c r="P2" s="261"/>
    </row>
    <row r="3" spans="1:16" ht="16.5" thickTop="1" x14ac:dyDescent="0.35">
      <c r="A3" s="237" t="s">
        <v>576</v>
      </c>
      <c r="B3" s="238"/>
      <c r="C3" s="238"/>
      <c r="D3" s="238"/>
      <c r="E3" s="239"/>
      <c r="F3" s="240" t="s">
        <v>577</v>
      </c>
      <c r="G3" s="238"/>
      <c r="H3" s="238"/>
      <c r="I3" s="238"/>
      <c r="J3" s="238"/>
      <c r="K3" s="240" t="s">
        <v>578</v>
      </c>
      <c r="L3" s="238"/>
      <c r="M3" s="238"/>
      <c r="N3" s="238"/>
      <c r="O3" s="238"/>
      <c r="P3" s="241"/>
    </row>
    <row r="4" spans="1:16" ht="31" customHeight="1" x14ac:dyDescent="0.35">
      <c r="A4" s="242"/>
      <c r="B4" s="243"/>
      <c r="C4" s="243"/>
      <c r="D4" s="243"/>
      <c r="E4" s="244"/>
      <c r="F4" s="245" t="s">
        <v>93</v>
      </c>
      <c r="G4" s="243"/>
      <c r="H4" s="243"/>
      <c r="I4" s="243"/>
      <c r="J4" s="243"/>
      <c r="K4" s="245" t="s">
        <v>93</v>
      </c>
      <c r="L4" s="243"/>
      <c r="M4" s="243"/>
      <c r="N4" s="243"/>
      <c r="O4" s="243"/>
      <c r="P4" s="246"/>
    </row>
    <row r="5" spans="1:16" ht="31.5" customHeight="1" x14ac:dyDescent="0.35">
      <c r="A5" s="117" t="s">
        <v>664</v>
      </c>
      <c r="B5" s="117"/>
      <c r="C5" s="117"/>
      <c r="D5" s="117"/>
      <c r="E5" s="117"/>
      <c r="F5" s="117"/>
      <c r="G5" s="117"/>
      <c r="H5" s="117"/>
      <c r="I5" s="117"/>
      <c r="J5" s="117"/>
      <c r="K5" s="117"/>
      <c r="L5" s="117"/>
      <c r="M5" s="117"/>
      <c r="N5" s="117"/>
      <c r="O5" s="117"/>
      <c r="P5" s="117"/>
    </row>
    <row r="6" spans="1:16" ht="31.5" customHeight="1" x14ac:dyDescent="0.35">
      <c r="A6" s="116" t="s">
        <v>663</v>
      </c>
      <c r="B6" s="117"/>
      <c r="C6" s="117"/>
      <c r="D6" s="117"/>
      <c r="E6" s="117"/>
      <c r="F6" s="117"/>
      <c r="G6" s="117"/>
      <c r="H6" s="117"/>
      <c r="I6" s="117"/>
      <c r="J6" s="117"/>
      <c r="K6" s="117"/>
      <c r="L6" s="117"/>
      <c r="M6" s="117"/>
      <c r="N6" s="117"/>
      <c r="O6" s="117"/>
      <c r="P6" s="117"/>
    </row>
    <row r="7" spans="1:16" ht="60.5" customHeight="1" x14ac:dyDescent="0.35">
      <c r="A7" s="262" t="s">
        <v>579</v>
      </c>
      <c r="B7" s="263"/>
      <c r="C7" s="118" t="s">
        <v>95</v>
      </c>
      <c r="D7" s="119"/>
      <c r="E7" s="41" t="s">
        <v>580</v>
      </c>
      <c r="F7" s="122" t="s">
        <v>95</v>
      </c>
      <c r="G7" s="123"/>
      <c r="H7" s="124"/>
      <c r="I7" s="41" t="s">
        <v>581</v>
      </c>
      <c r="J7" s="118" t="s">
        <v>95</v>
      </c>
      <c r="K7" s="119"/>
      <c r="L7" s="41" t="s">
        <v>582</v>
      </c>
      <c r="M7" s="37" t="s">
        <v>95</v>
      </c>
      <c r="N7" s="41" t="s">
        <v>583</v>
      </c>
      <c r="O7" s="118" t="s">
        <v>95</v>
      </c>
      <c r="P7" s="119"/>
    </row>
    <row r="8" spans="1:16" ht="16" x14ac:dyDescent="0.35">
      <c r="A8" s="264" t="s">
        <v>9</v>
      </c>
      <c r="B8" s="265"/>
      <c r="C8" s="120" t="str">
        <f>VLOOKUP(C7,'Staff Info'!I:J,2,FALSE)</f>
        <v>Church #</v>
      </c>
      <c r="D8" s="121"/>
      <c r="E8" s="42" t="s">
        <v>10</v>
      </c>
      <c r="F8" s="125" t="str">
        <f>VLOOKUP(F7,'Staff Info'!I:J,2,FALSE)</f>
        <v>Church #</v>
      </c>
      <c r="G8" s="126"/>
      <c r="H8" s="127"/>
      <c r="I8" s="42" t="s">
        <v>10</v>
      </c>
      <c r="J8" s="120" t="str">
        <f>VLOOKUP(J7,'Staff Info'!I:J,2,FALSE)</f>
        <v>Church #</v>
      </c>
      <c r="K8" s="128"/>
      <c r="L8" s="44" t="s">
        <v>10</v>
      </c>
      <c r="M8" s="43" t="str">
        <f>VLOOKUP(M7,'Staff Info'!I:J,2,FALSE)</f>
        <v>Church #</v>
      </c>
      <c r="N8" s="42" t="s">
        <v>10</v>
      </c>
      <c r="O8" s="120" t="str">
        <f>VLOOKUP(O7,'Staff Info'!I:J,2,FALSE)</f>
        <v>Church #</v>
      </c>
      <c r="P8" s="121"/>
    </row>
    <row r="9" spans="1:16" ht="44.5" customHeight="1" x14ac:dyDescent="0.35">
      <c r="A9" s="266" t="s">
        <v>564</v>
      </c>
      <c r="B9" s="267"/>
      <c r="C9" s="268" t="s">
        <v>93</v>
      </c>
      <c r="D9" s="268"/>
      <c r="E9" s="45" t="s">
        <v>564</v>
      </c>
      <c r="F9" s="218" t="s">
        <v>93</v>
      </c>
      <c r="G9" s="219"/>
      <c r="H9" s="219"/>
      <c r="I9" s="46" t="s">
        <v>564</v>
      </c>
      <c r="J9" s="268" t="s">
        <v>93</v>
      </c>
      <c r="K9" s="268"/>
      <c r="L9" s="47" t="s">
        <v>564</v>
      </c>
      <c r="M9" s="21" t="s">
        <v>93</v>
      </c>
      <c r="N9" s="45" t="s">
        <v>564</v>
      </c>
      <c r="O9" s="268" t="s">
        <v>93</v>
      </c>
      <c r="P9" s="268"/>
    </row>
    <row r="10" spans="1:16" ht="21" x14ac:dyDescent="0.5">
      <c r="A10" s="221" t="s">
        <v>11</v>
      </c>
      <c r="B10" s="222"/>
      <c r="C10" s="223"/>
      <c r="D10" s="223"/>
      <c r="E10" s="223"/>
      <c r="F10" s="222"/>
      <c r="G10" s="222"/>
      <c r="H10" s="222"/>
      <c r="I10" s="223"/>
      <c r="J10" s="222"/>
      <c r="K10" s="222"/>
      <c r="L10" s="223"/>
      <c r="M10" s="223"/>
      <c r="N10" s="223"/>
      <c r="O10" s="223"/>
      <c r="P10" s="224"/>
    </row>
    <row r="11" spans="1:16" ht="94" customHeight="1" x14ac:dyDescent="0.35">
      <c r="A11" s="225"/>
      <c r="B11" s="226"/>
      <c r="C11" s="226"/>
      <c r="D11" s="226"/>
      <c r="E11" s="226"/>
      <c r="F11" s="226"/>
      <c r="G11" s="226"/>
      <c r="H11" s="226"/>
      <c r="I11" s="227"/>
      <c r="J11" s="48" t="str">
        <f>IF(C7="Church Name - Dropdown","Church A",C7)</f>
        <v>Church A</v>
      </c>
      <c r="K11" s="49" t="str">
        <f>IF(F7="Church Name - Dropdown","Church B",F7)</f>
        <v>Church B</v>
      </c>
      <c r="L11" s="49" t="str">
        <f>IF(J7="Church Name - Dropdown","Church C",J7)</f>
        <v>Church C</v>
      </c>
      <c r="M11" s="49" t="str">
        <f>IF(M7="Church Name - Dropdown","Church D",M7)</f>
        <v>Church D</v>
      </c>
      <c r="N11" s="49" t="str">
        <f>IF(O7="Church Name - Dropdown","Church E",O7)</f>
        <v>Church E</v>
      </c>
      <c r="O11" s="50"/>
      <c r="P11" s="51" t="s">
        <v>12</v>
      </c>
    </row>
    <row r="12" spans="1:16" ht="37.5" customHeight="1" x14ac:dyDescent="0.35">
      <c r="A12" s="52">
        <v>1</v>
      </c>
      <c r="B12" s="228" t="s">
        <v>607</v>
      </c>
      <c r="C12" s="228"/>
      <c r="D12" s="228"/>
      <c r="E12" s="228"/>
      <c r="F12" s="228"/>
      <c r="G12" s="228"/>
      <c r="H12" s="228"/>
      <c r="I12" s="228"/>
      <c r="J12" s="22"/>
      <c r="K12" s="22"/>
      <c r="L12" s="22"/>
      <c r="M12" s="22"/>
      <c r="N12" s="22"/>
      <c r="O12" s="53">
        <v>1</v>
      </c>
      <c r="P12" s="54">
        <f>SUM(J12:N12)</f>
        <v>0</v>
      </c>
    </row>
    <row r="13" spans="1:16" ht="24.65" hidden="1" customHeight="1" x14ac:dyDescent="0.35">
      <c r="A13" s="52">
        <v>2</v>
      </c>
      <c r="B13" s="269" t="s">
        <v>13</v>
      </c>
      <c r="C13" s="270"/>
      <c r="D13" s="270"/>
      <c r="E13" s="270"/>
      <c r="F13" s="270"/>
      <c r="G13" s="270"/>
      <c r="H13" s="270"/>
      <c r="I13" s="271"/>
      <c r="J13" s="22"/>
      <c r="K13" s="22"/>
      <c r="L13" s="22"/>
      <c r="M13" s="22"/>
      <c r="N13" s="22"/>
      <c r="O13" s="53">
        <v>2</v>
      </c>
      <c r="P13" s="54">
        <f t="shared" ref="P13:P18" si="0">SUM(J13:N13)</f>
        <v>0</v>
      </c>
    </row>
    <row r="14" spans="1:16" ht="24.65" hidden="1" customHeight="1" x14ac:dyDescent="0.35">
      <c r="A14" s="52">
        <v>3</v>
      </c>
      <c r="B14" s="269" t="s">
        <v>14</v>
      </c>
      <c r="C14" s="270"/>
      <c r="D14" s="270"/>
      <c r="E14" s="270"/>
      <c r="F14" s="270"/>
      <c r="G14" s="270"/>
      <c r="H14" s="270"/>
      <c r="I14" s="271"/>
      <c r="J14" s="22"/>
      <c r="K14" s="22"/>
      <c r="L14" s="22"/>
      <c r="M14" s="22"/>
      <c r="N14" s="22"/>
      <c r="O14" s="53">
        <v>3</v>
      </c>
      <c r="P14" s="54">
        <f t="shared" si="0"/>
        <v>0</v>
      </c>
    </row>
    <row r="15" spans="1:16" ht="8.5" hidden="1" customHeight="1" x14ac:dyDescent="0.35">
      <c r="A15" s="52">
        <v>4</v>
      </c>
      <c r="B15" s="269" t="s">
        <v>15</v>
      </c>
      <c r="C15" s="270"/>
      <c r="D15" s="270"/>
      <c r="E15" s="270"/>
      <c r="F15" s="270"/>
      <c r="G15" s="270"/>
      <c r="H15" s="270"/>
      <c r="I15" s="271"/>
      <c r="J15" s="22"/>
      <c r="K15" s="22"/>
      <c r="L15" s="22"/>
      <c r="M15" s="23"/>
      <c r="N15" s="23"/>
      <c r="O15" s="52">
        <v>4</v>
      </c>
      <c r="P15" s="54">
        <f t="shared" si="0"/>
        <v>0</v>
      </c>
    </row>
    <row r="16" spans="1:16" ht="51" customHeight="1" x14ac:dyDescent="0.35">
      <c r="A16" s="52">
        <v>2</v>
      </c>
      <c r="B16" s="229" t="s">
        <v>16</v>
      </c>
      <c r="C16" s="229"/>
      <c r="D16" s="229"/>
      <c r="E16" s="229"/>
      <c r="F16" s="229"/>
      <c r="G16" s="229"/>
      <c r="H16" s="229"/>
      <c r="I16" s="229"/>
      <c r="J16" s="24"/>
      <c r="K16" s="24"/>
      <c r="L16" s="24"/>
      <c r="M16" s="25"/>
      <c r="N16" s="25"/>
      <c r="O16" s="52">
        <v>2</v>
      </c>
      <c r="P16" s="54">
        <f t="shared" si="0"/>
        <v>0</v>
      </c>
    </row>
    <row r="17" spans="1:16" ht="84" customHeight="1" x14ac:dyDescent="0.35">
      <c r="A17" s="52">
        <v>3</v>
      </c>
      <c r="B17" s="230" t="s">
        <v>658</v>
      </c>
      <c r="C17" s="230"/>
      <c r="D17" s="230"/>
      <c r="E17" s="230"/>
      <c r="F17" s="230"/>
      <c r="G17" s="230"/>
      <c r="H17" s="230"/>
      <c r="I17" s="230"/>
      <c r="J17" s="22"/>
      <c r="K17" s="22"/>
      <c r="L17" s="22"/>
      <c r="M17" s="23"/>
      <c r="N17" s="23"/>
      <c r="O17" s="52">
        <v>3</v>
      </c>
      <c r="P17" s="54">
        <f t="shared" si="0"/>
        <v>0</v>
      </c>
    </row>
    <row r="18" spans="1:16" ht="24.65" customHeight="1" x14ac:dyDescent="0.35">
      <c r="A18" s="52">
        <v>4</v>
      </c>
      <c r="B18" s="231" t="s">
        <v>661</v>
      </c>
      <c r="C18" s="231"/>
      <c r="D18" s="231"/>
      <c r="E18" s="231"/>
      <c r="F18" s="231"/>
      <c r="G18" s="231"/>
      <c r="H18" s="231"/>
      <c r="I18" s="231"/>
      <c r="J18" s="54">
        <f>SUM(J12:J17)</f>
        <v>0</v>
      </c>
      <c r="K18" s="54">
        <f>SUM(K12:K17)</f>
        <v>0</v>
      </c>
      <c r="L18" s="54">
        <f>SUM(L12:L17)</f>
        <v>0</v>
      </c>
      <c r="M18" s="54">
        <f>SUM(M12:M17)</f>
        <v>0</v>
      </c>
      <c r="N18" s="54">
        <f>SUM(N12:N17)</f>
        <v>0</v>
      </c>
      <c r="O18" s="52">
        <v>4</v>
      </c>
      <c r="P18" s="54">
        <f t="shared" si="0"/>
        <v>0</v>
      </c>
    </row>
    <row r="19" spans="1:16" ht="35.5" customHeight="1" x14ac:dyDescent="0.35">
      <c r="A19" s="201" t="s">
        <v>17</v>
      </c>
      <c r="B19" s="232" t="s">
        <v>18</v>
      </c>
      <c r="C19" s="232"/>
      <c r="D19" s="232"/>
      <c r="E19" s="232"/>
      <c r="F19" s="232"/>
      <c r="G19" s="232"/>
      <c r="H19" s="232"/>
      <c r="I19" s="232"/>
      <c r="J19" s="232"/>
      <c r="K19" s="232"/>
      <c r="L19" s="232"/>
      <c r="M19" s="232"/>
      <c r="N19" s="232"/>
      <c r="O19" s="232"/>
      <c r="P19" s="232"/>
    </row>
    <row r="20" spans="1:16" ht="75" customHeight="1" x14ac:dyDescent="0.35">
      <c r="A20" s="202"/>
      <c r="B20" s="53">
        <v>5</v>
      </c>
      <c r="C20" s="220" t="s">
        <v>592</v>
      </c>
      <c r="D20" s="220"/>
      <c r="E20" s="220"/>
      <c r="F20" s="220"/>
      <c r="G20" s="220"/>
      <c r="H20" s="220"/>
      <c r="I20" s="220"/>
      <c r="J20" s="22"/>
      <c r="K20" s="22"/>
      <c r="L20" s="23"/>
      <c r="M20" s="23"/>
      <c r="N20" s="23"/>
      <c r="O20" s="53">
        <v>5</v>
      </c>
      <c r="P20" s="54">
        <f>SUM(J20:N20)</f>
        <v>0</v>
      </c>
    </row>
    <row r="21" spans="1:16" ht="55.5" customHeight="1" x14ac:dyDescent="0.35">
      <c r="A21" s="202"/>
      <c r="B21" s="53">
        <v>6</v>
      </c>
      <c r="C21" s="196" t="s">
        <v>591</v>
      </c>
      <c r="D21" s="196"/>
      <c r="E21" s="196"/>
      <c r="F21" s="196"/>
      <c r="G21" s="196"/>
      <c r="H21" s="196"/>
      <c r="I21" s="196"/>
      <c r="J21" s="26"/>
      <c r="K21" s="24"/>
      <c r="L21" s="25"/>
      <c r="M21" s="25"/>
      <c r="N21" s="25"/>
      <c r="O21" s="53">
        <v>6</v>
      </c>
      <c r="P21" s="54">
        <f t="shared" ref="P21:P25" si="1">SUM(J21:N21)</f>
        <v>0</v>
      </c>
    </row>
    <row r="22" spans="1:16" ht="90.5" hidden="1" customHeight="1" x14ac:dyDescent="0.35">
      <c r="A22" s="202"/>
      <c r="B22" s="53">
        <v>10</v>
      </c>
      <c r="C22" s="178" t="s">
        <v>593</v>
      </c>
      <c r="D22" s="179"/>
      <c r="E22" s="179"/>
      <c r="F22" s="179"/>
      <c r="G22" s="179"/>
      <c r="H22" s="179"/>
      <c r="I22" s="180"/>
      <c r="J22" s="22"/>
      <c r="K22" s="24"/>
      <c r="L22" s="25"/>
      <c r="M22" s="25"/>
      <c r="N22" s="25"/>
      <c r="O22" s="53">
        <v>10</v>
      </c>
      <c r="P22" s="54">
        <f t="shared" si="1"/>
        <v>0</v>
      </c>
    </row>
    <row r="23" spans="1:16" ht="82" hidden="1" customHeight="1" x14ac:dyDescent="0.35">
      <c r="A23" s="202"/>
      <c r="B23" s="53">
        <v>11</v>
      </c>
      <c r="C23" s="178" t="s">
        <v>594</v>
      </c>
      <c r="D23" s="179"/>
      <c r="E23" s="179"/>
      <c r="F23" s="179"/>
      <c r="G23" s="179"/>
      <c r="H23" s="179"/>
      <c r="I23" s="180"/>
      <c r="J23" s="22"/>
      <c r="K23" s="24"/>
      <c r="L23" s="25"/>
      <c r="M23" s="25"/>
      <c r="N23" s="25"/>
      <c r="O23" s="53">
        <v>11</v>
      </c>
      <c r="P23" s="54">
        <f t="shared" si="1"/>
        <v>0</v>
      </c>
    </row>
    <row r="24" spans="1:16" ht="92.5" customHeight="1" x14ac:dyDescent="0.35">
      <c r="A24" s="202"/>
      <c r="B24" s="53">
        <v>7</v>
      </c>
      <c r="C24" s="196" t="s">
        <v>19</v>
      </c>
      <c r="D24" s="196"/>
      <c r="E24" s="196"/>
      <c r="F24" s="196"/>
      <c r="G24" s="196"/>
      <c r="H24" s="196"/>
      <c r="I24" s="196"/>
      <c r="J24" s="22"/>
      <c r="K24" s="22"/>
      <c r="L24" s="23"/>
      <c r="M24" s="23"/>
      <c r="N24" s="23"/>
      <c r="O24" s="53">
        <v>7</v>
      </c>
      <c r="P24" s="54">
        <f t="shared" si="1"/>
        <v>0</v>
      </c>
    </row>
    <row r="25" spans="1:16" ht="35.15" customHeight="1" x14ac:dyDescent="0.35">
      <c r="A25" s="202"/>
      <c r="B25" s="53">
        <v>8</v>
      </c>
      <c r="C25" s="196" t="s">
        <v>666</v>
      </c>
      <c r="D25" s="196"/>
      <c r="E25" s="196"/>
      <c r="F25" s="196"/>
      <c r="G25" s="196"/>
      <c r="H25" s="196"/>
      <c r="I25" s="196"/>
      <c r="J25" s="54">
        <f>SUM(J20:J24)</f>
        <v>0</v>
      </c>
      <c r="K25" s="54">
        <f>SUM(K20:K24)</f>
        <v>0</v>
      </c>
      <c r="L25" s="54">
        <f>SUM(L20:L24)</f>
        <v>0</v>
      </c>
      <c r="M25" s="54">
        <f>SUM(M20:M24)</f>
        <v>0</v>
      </c>
      <c r="N25" s="54">
        <f>SUM(N20:N24)</f>
        <v>0</v>
      </c>
      <c r="O25" s="53">
        <v>8</v>
      </c>
      <c r="P25" s="54">
        <f t="shared" si="1"/>
        <v>0</v>
      </c>
    </row>
    <row r="26" spans="1:16" ht="59.5" customHeight="1" x14ac:dyDescent="0.35">
      <c r="A26" s="202"/>
      <c r="B26" s="175" t="s">
        <v>611</v>
      </c>
      <c r="C26" s="176"/>
      <c r="D26" s="176"/>
      <c r="E26" s="176"/>
      <c r="F26" s="176"/>
      <c r="G26" s="176"/>
      <c r="H26" s="176"/>
      <c r="I26" s="176"/>
      <c r="J26" s="176"/>
      <c r="K26" s="176"/>
      <c r="L26" s="176"/>
      <c r="M26" s="176"/>
      <c r="N26" s="176"/>
      <c r="O26" s="176"/>
      <c r="P26" s="204"/>
    </row>
    <row r="27" spans="1:16" ht="67" customHeight="1" x14ac:dyDescent="0.35">
      <c r="A27" s="202"/>
      <c r="B27" s="53">
        <v>9</v>
      </c>
      <c r="C27" s="205" t="s">
        <v>595</v>
      </c>
      <c r="D27" s="205"/>
      <c r="E27" s="205"/>
      <c r="F27" s="205"/>
      <c r="G27" s="205"/>
      <c r="H27" s="205"/>
      <c r="I27" s="205"/>
      <c r="J27" s="27"/>
      <c r="K27" s="27"/>
      <c r="L27" s="27"/>
      <c r="M27" s="28"/>
      <c r="N27" s="29"/>
      <c r="O27" s="53">
        <v>9</v>
      </c>
      <c r="P27" s="57">
        <f>SUM(J27:N27)</f>
        <v>0</v>
      </c>
    </row>
    <row r="28" spans="1:16" ht="36.65" customHeight="1" x14ac:dyDescent="0.35">
      <c r="A28" s="202"/>
      <c r="B28" s="52">
        <v>10</v>
      </c>
      <c r="C28" s="206" t="s">
        <v>596</v>
      </c>
      <c r="D28" s="207"/>
      <c r="E28" s="207"/>
      <c r="F28" s="207"/>
      <c r="G28" s="207"/>
      <c r="H28" s="207"/>
      <c r="I28" s="208"/>
      <c r="J28" s="30"/>
      <c r="K28" s="27"/>
      <c r="L28" s="27"/>
      <c r="M28" s="31"/>
      <c r="N28" s="32"/>
      <c r="O28" s="52">
        <v>10</v>
      </c>
      <c r="P28" s="57">
        <f t="shared" ref="P28:P31" si="2">SUM(J28:N28)</f>
        <v>0</v>
      </c>
    </row>
    <row r="29" spans="1:16" ht="38" customHeight="1" x14ac:dyDescent="0.35">
      <c r="A29" s="202"/>
      <c r="B29" s="53">
        <v>11</v>
      </c>
      <c r="C29" s="209" t="s">
        <v>597</v>
      </c>
      <c r="D29" s="209"/>
      <c r="E29" s="209"/>
      <c r="F29" s="209"/>
      <c r="G29" s="209"/>
      <c r="H29" s="209"/>
      <c r="I29" s="209"/>
      <c r="J29" s="55">
        <f>J18-J25-J27+J24</f>
        <v>0</v>
      </c>
      <c r="K29" s="56">
        <f>K18-K25-K27+K24</f>
        <v>0</v>
      </c>
      <c r="L29" s="56">
        <f>L18-L25-L27+L24</f>
        <v>0</v>
      </c>
      <c r="M29" s="56">
        <f>M18-M25-M27+M24</f>
        <v>0</v>
      </c>
      <c r="N29" s="56">
        <f>N18-N25-N27+N24</f>
        <v>0</v>
      </c>
      <c r="O29" s="53">
        <v>11</v>
      </c>
      <c r="P29" s="57">
        <f t="shared" si="2"/>
        <v>0</v>
      </c>
    </row>
    <row r="30" spans="1:16" ht="44" customHeight="1" x14ac:dyDescent="0.35">
      <c r="A30" s="202"/>
      <c r="B30" s="53">
        <v>12</v>
      </c>
      <c r="C30" s="167" t="s">
        <v>598</v>
      </c>
      <c r="D30" s="167"/>
      <c r="E30" s="167"/>
      <c r="F30" s="167"/>
      <c r="G30" s="167"/>
      <c r="H30" s="167"/>
      <c r="I30" s="167"/>
      <c r="J30" s="58">
        <f>J18-J25</f>
        <v>0</v>
      </c>
      <c r="K30" s="59">
        <f>K18-K25</f>
        <v>0</v>
      </c>
      <c r="L30" s="59">
        <f>L18-L25</f>
        <v>0</v>
      </c>
      <c r="M30" s="59">
        <f>M18-M25</f>
        <v>0</v>
      </c>
      <c r="N30" s="59">
        <f>N18-N25</f>
        <v>0</v>
      </c>
      <c r="O30" s="53">
        <v>12</v>
      </c>
      <c r="P30" s="57">
        <f t="shared" si="2"/>
        <v>0</v>
      </c>
    </row>
    <row r="31" spans="1:16" ht="45.5" customHeight="1" x14ac:dyDescent="0.35">
      <c r="A31" s="203"/>
      <c r="B31" s="53">
        <v>13</v>
      </c>
      <c r="C31" s="168" t="s">
        <v>599</v>
      </c>
      <c r="D31" s="168"/>
      <c r="E31" s="168"/>
      <c r="F31" s="168"/>
      <c r="G31" s="168"/>
      <c r="H31" s="168"/>
      <c r="I31" s="168"/>
      <c r="J31" s="59">
        <f>J30+J25</f>
        <v>0</v>
      </c>
      <c r="K31" s="59">
        <f>K30+K25</f>
        <v>0</v>
      </c>
      <c r="L31" s="59">
        <f>L30+L25</f>
        <v>0</v>
      </c>
      <c r="M31" s="59">
        <f t="shared" ref="M31:N31" si="3">M30+M25</f>
        <v>0</v>
      </c>
      <c r="N31" s="59">
        <f t="shared" si="3"/>
        <v>0</v>
      </c>
      <c r="O31" s="53">
        <v>13</v>
      </c>
      <c r="P31" s="57">
        <f t="shared" si="2"/>
        <v>0</v>
      </c>
    </row>
    <row r="32" spans="1:16" ht="48.5" customHeight="1" x14ac:dyDescent="0.35">
      <c r="A32" s="198" t="s">
        <v>608</v>
      </c>
      <c r="B32" s="199"/>
      <c r="C32" s="199"/>
      <c r="D32" s="199"/>
      <c r="E32" s="199"/>
      <c r="F32" s="199"/>
      <c r="G32" s="199"/>
      <c r="H32" s="199"/>
      <c r="I32" s="199"/>
      <c r="J32" s="199"/>
      <c r="K32" s="199"/>
      <c r="L32" s="199"/>
      <c r="M32" s="199"/>
      <c r="N32" s="199"/>
      <c r="O32" s="199"/>
      <c r="P32" s="200"/>
    </row>
    <row r="33" spans="1:16" ht="58.5" customHeight="1" x14ac:dyDescent="0.35">
      <c r="A33" s="198" t="s">
        <v>584</v>
      </c>
      <c r="B33" s="199"/>
      <c r="C33" s="199"/>
      <c r="D33" s="199"/>
      <c r="E33" s="199"/>
      <c r="F33" s="199"/>
      <c r="G33" s="199"/>
      <c r="H33" s="199"/>
      <c r="I33" s="199"/>
      <c r="J33" s="199"/>
      <c r="K33" s="199"/>
      <c r="L33" s="199"/>
      <c r="M33" s="199"/>
      <c r="N33" s="199"/>
      <c r="O33" s="199"/>
      <c r="P33" s="200"/>
    </row>
    <row r="34" spans="1:16" ht="49.5" customHeight="1" x14ac:dyDescent="0.35">
      <c r="A34" s="198" t="s">
        <v>585</v>
      </c>
      <c r="B34" s="199"/>
      <c r="C34" s="199"/>
      <c r="D34" s="199"/>
      <c r="E34" s="199"/>
      <c r="F34" s="199"/>
      <c r="G34" s="199"/>
      <c r="H34" s="199"/>
      <c r="I34" s="199"/>
      <c r="J34" s="199"/>
      <c r="K34" s="199"/>
      <c r="L34" s="199"/>
      <c r="M34" s="199"/>
      <c r="N34" s="199"/>
      <c r="O34" s="199"/>
      <c r="P34" s="200"/>
    </row>
    <row r="35" spans="1:16" ht="60" customHeight="1" x14ac:dyDescent="0.35">
      <c r="A35" s="198" t="s">
        <v>586</v>
      </c>
      <c r="B35" s="199"/>
      <c r="C35" s="199"/>
      <c r="D35" s="199"/>
      <c r="E35" s="199"/>
      <c r="F35" s="199"/>
      <c r="G35" s="199"/>
      <c r="H35" s="199"/>
      <c r="I35" s="199"/>
      <c r="J35" s="199"/>
      <c r="K35" s="199"/>
      <c r="L35" s="199"/>
      <c r="M35" s="199"/>
      <c r="N35" s="199"/>
      <c r="O35" s="199"/>
      <c r="P35" s="200"/>
    </row>
    <row r="36" spans="1:16" ht="66" customHeight="1" x14ac:dyDescent="0.35">
      <c r="A36" s="198" t="s">
        <v>618</v>
      </c>
      <c r="B36" s="199"/>
      <c r="C36" s="199"/>
      <c r="D36" s="199"/>
      <c r="E36" s="199"/>
      <c r="F36" s="199"/>
      <c r="G36" s="199"/>
      <c r="H36" s="199"/>
      <c r="I36" s="199"/>
      <c r="J36" s="199"/>
      <c r="K36" s="199"/>
      <c r="L36" s="199"/>
      <c r="M36" s="199"/>
      <c r="N36" s="199"/>
      <c r="O36" s="199"/>
      <c r="P36" s="200"/>
    </row>
    <row r="37" spans="1:16" ht="66.5" customHeight="1" x14ac:dyDescent="0.35">
      <c r="A37" s="278" t="s">
        <v>20</v>
      </c>
      <c r="B37" s="279"/>
      <c r="C37" s="279"/>
      <c r="D37" s="279"/>
      <c r="E37" s="279"/>
      <c r="F37" s="279"/>
      <c r="G37" s="279"/>
      <c r="H37" s="279"/>
      <c r="I37" s="280"/>
      <c r="J37" s="214" t="str">
        <f>IF(C7="Church Name - Dropdown","Church A",C7)</f>
        <v>Church A</v>
      </c>
      <c r="K37" s="214" t="str">
        <f>IF(F7="Church Name - Dropdown","Church B",F7)</f>
        <v>Church B</v>
      </c>
      <c r="L37" s="214" t="str">
        <f>IF(J7="Church Name - Dropdown","Church C",J7)</f>
        <v>Church C</v>
      </c>
      <c r="M37" s="214" t="str">
        <f>IF(M7="Church Name - Dropdown","Church D",M7)</f>
        <v>Church D</v>
      </c>
      <c r="N37" s="214" t="str">
        <f>IF(O7="Church Name - Dropdown","Church E",O7)</f>
        <v>Church E</v>
      </c>
      <c r="O37" s="233" t="s">
        <v>605</v>
      </c>
      <c r="P37" s="234"/>
    </row>
    <row r="38" spans="1:16" ht="41" customHeight="1" x14ac:dyDescent="0.35">
      <c r="A38" s="281"/>
      <c r="B38" s="282"/>
      <c r="C38" s="282"/>
      <c r="D38" s="282"/>
      <c r="E38" s="282"/>
      <c r="F38" s="282"/>
      <c r="G38" s="282"/>
      <c r="H38" s="282"/>
      <c r="I38" s="283"/>
      <c r="J38" s="215"/>
      <c r="K38" s="215"/>
      <c r="L38" s="215"/>
      <c r="M38" s="215"/>
      <c r="N38" s="215"/>
      <c r="O38" s="216">
        <f>COUNTIF(J31:N31,"&gt;0")</f>
        <v>0</v>
      </c>
      <c r="P38" s="217"/>
    </row>
    <row r="39" spans="1:16" ht="51.65" customHeight="1" x14ac:dyDescent="0.35">
      <c r="A39" s="235">
        <v>14</v>
      </c>
      <c r="B39" s="190" t="s">
        <v>606</v>
      </c>
      <c r="C39" s="191"/>
      <c r="D39" s="191"/>
      <c r="E39" s="191"/>
      <c r="F39" s="191"/>
      <c r="G39" s="191"/>
      <c r="H39" s="191"/>
      <c r="I39" s="192"/>
      <c r="J39" s="276"/>
      <c r="K39" s="276"/>
      <c r="L39" s="276"/>
      <c r="M39" s="276"/>
      <c r="N39" s="276"/>
      <c r="O39" s="272" t="s">
        <v>617</v>
      </c>
      <c r="P39" s="273"/>
    </row>
    <row r="40" spans="1:16" ht="64.5" customHeight="1" x14ac:dyDescent="0.35">
      <c r="A40" s="236"/>
      <c r="B40" s="193"/>
      <c r="C40" s="194"/>
      <c r="D40" s="194"/>
      <c r="E40" s="194"/>
      <c r="F40" s="194"/>
      <c r="G40" s="194"/>
      <c r="H40" s="194"/>
      <c r="I40" s="195"/>
      <c r="J40" s="277"/>
      <c r="K40" s="277"/>
      <c r="L40" s="277"/>
      <c r="M40" s="277"/>
      <c r="N40" s="277"/>
      <c r="O40" s="274" cm="1">
        <f t="array" ref="O40">IFERROR(_xlfn.IFS(J39&lt;&gt;"",P12,K39&lt;&gt;"",P12,L39&lt;&gt;"",P12,M39&lt;&gt;"",P12,N39&lt;&gt;"",P12),0)</f>
        <v>0</v>
      </c>
      <c r="P40" s="275"/>
    </row>
    <row r="41" spans="1:16" ht="79" customHeight="1" x14ac:dyDescent="0.35">
      <c r="A41" s="53">
        <v>15</v>
      </c>
      <c r="B41" s="196" t="s">
        <v>616</v>
      </c>
      <c r="C41" s="196"/>
      <c r="D41" s="196"/>
      <c r="E41" s="196"/>
      <c r="F41" s="197"/>
      <c r="G41" s="197"/>
      <c r="H41" s="197"/>
      <c r="I41" s="197"/>
      <c r="J41" s="60">
        <f>IFERROR(IF(O40&gt;0,(J31/O40)*O41,0),0)</f>
        <v>0</v>
      </c>
      <c r="K41" s="60">
        <f>IFERROR(IF(O40&gt;0,(K31/O40)*O41,0),0)</f>
        <v>0</v>
      </c>
      <c r="L41" s="60">
        <f>IFERROR(IF(O40&gt;0,(L31/O40)*O41,0),0)</f>
        <v>0</v>
      </c>
      <c r="M41" s="60">
        <f>IFERROR(IF(O40&gt;0,(M31/O40)*O41,0),0)</f>
        <v>0</v>
      </c>
      <c r="N41" s="60">
        <f>IFERROR(IF(O40&gt;0,(N31/O40)*O41,0),0)</f>
        <v>0</v>
      </c>
      <c r="O41" s="274">
        <f>IFERROR(IF(O40&gt;0,IF(O40*0.35&lt;10000,10000,O40*0.35),0),0)</f>
        <v>0</v>
      </c>
      <c r="P41" s="275"/>
    </row>
    <row r="42" spans="1:16" ht="59.5" customHeight="1" thickBot="1" x14ac:dyDescent="0.4">
      <c r="A42" s="210" t="s">
        <v>21</v>
      </c>
      <c r="B42" s="211"/>
      <c r="C42" s="211"/>
      <c r="D42" s="211"/>
      <c r="E42" s="211"/>
      <c r="F42" s="211"/>
      <c r="G42" s="211"/>
      <c r="H42" s="211"/>
      <c r="I42" s="211"/>
      <c r="J42" s="212"/>
      <c r="K42" s="211"/>
      <c r="L42" s="211"/>
      <c r="M42" s="211"/>
      <c r="N42" s="211"/>
      <c r="O42" s="211"/>
      <c r="P42" s="213"/>
    </row>
    <row r="43" spans="1:16" ht="25" customHeight="1" thickBot="1" x14ac:dyDescent="0.4">
      <c r="A43" s="164" t="s">
        <v>657</v>
      </c>
      <c r="B43" s="165"/>
      <c r="C43" s="165"/>
      <c r="D43" s="165"/>
      <c r="E43" s="165"/>
      <c r="F43" s="165"/>
      <c r="G43" s="165"/>
      <c r="H43" s="61"/>
      <c r="I43" s="61"/>
      <c r="J43" s="62"/>
      <c r="K43" s="62"/>
      <c r="L43" s="62"/>
      <c r="M43" s="62"/>
      <c r="N43" s="62"/>
      <c r="O43" s="63"/>
      <c r="P43" s="36"/>
    </row>
    <row r="44" spans="1:16" ht="26.5" customHeight="1" thickBot="1" x14ac:dyDescent="0.4">
      <c r="A44" s="187" t="s">
        <v>680</v>
      </c>
      <c r="B44" s="188"/>
      <c r="C44" s="188"/>
      <c r="D44" s="188"/>
      <c r="E44" s="188"/>
      <c r="F44" s="188"/>
      <c r="G44" s="188"/>
      <c r="H44" s="188"/>
      <c r="I44" s="188"/>
      <c r="J44" s="188"/>
      <c r="K44" s="188"/>
      <c r="L44" s="62"/>
      <c r="M44" s="62"/>
      <c r="N44" s="62"/>
      <c r="O44" s="63"/>
      <c r="P44" s="36"/>
    </row>
    <row r="45" spans="1:16" ht="23.15" customHeight="1" thickBot="1" x14ac:dyDescent="0.4">
      <c r="A45" s="187" t="s">
        <v>22</v>
      </c>
      <c r="B45" s="188"/>
      <c r="C45" s="188"/>
      <c r="D45" s="188"/>
      <c r="E45" s="188"/>
      <c r="F45" s="188"/>
      <c r="G45" s="188"/>
      <c r="H45" s="61"/>
      <c r="I45" s="61"/>
      <c r="J45" s="62"/>
      <c r="K45" s="62"/>
      <c r="L45" s="62"/>
      <c r="M45" s="62"/>
      <c r="N45" s="62"/>
      <c r="O45" s="63"/>
      <c r="P45" s="36"/>
    </row>
    <row r="46" spans="1:16" ht="26.5" customHeight="1" thickBot="1" x14ac:dyDescent="0.4">
      <c r="A46" s="187" t="s">
        <v>23</v>
      </c>
      <c r="B46" s="188"/>
      <c r="C46" s="188"/>
      <c r="D46" s="188"/>
      <c r="E46" s="188"/>
      <c r="F46" s="188"/>
      <c r="G46" s="188"/>
      <c r="H46" s="188"/>
      <c r="I46" s="188"/>
      <c r="J46" s="188"/>
      <c r="K46" s="62"/>
      <c r="L46" s="62"/>
      <c r="M46" s="62"/>
      <c r="N46" s="62"/>
      <c r="O46" s="63"/>
      <c r="P46" s="36"/>
    </row>
    <row r="47" spans="1:16" ht="26.5" customHeight="1" thickBot="1" x14ac:dyDescent="0.4">
      <c r="A47" s="187" t="s">
        <v>24</v>
      </c>
      <c r="B47" s="188"/>
      <c r="C47" s="188"/>
      <c r="D47" s="188"/>
      <c r="E47" s="188"/>
      <c r="F47" s="188"/>
      <c r="G47" s="188"/>
      <c r="H47" s="188"/>
      <c r="I47" s="188"/>
      <c r="J47" s="188"/>
      <c r="K47" s="188"/>
      <c r="L47" s="64"/>
      <c r="M47" s="64"/>
      <c r="N47" s="64"/>
      <c r="O47" s="65"/>
      <c r="P47" s="114"/>
    </row>
    <row r="48" spans="1:16" ht="52" customHeight="1" thickBot="1" x14ac:dyDescent="0.4">
      <c r="A48" s="189" t="s">
        <v>682</v>
      </c>
      <c r="B48" s="188"/>
      <c r="C48" s="188"/>
      <c r="D48" s="188"/>
      <c r="E48" s="188"/>
      <c r="F48" s="188"/>
      <c r="G48" s="188"/>
      <c r="H48" s="188"/>
      <c r="I48" s="188"/>
      <c r="J48" s="188"/>
      <c r="K48" s="188"/>
      <c r="L48" s="188"/>
      <c r="M48" s="188"/>
      <c r="N48" s="188"/>
      <c r="O48" s="188"/>
      <c r="P48" s="115"/>
    </row>
    <row r="49" spans="1:16" ht="58" customHeight="1" x14ac:dyDescent="0.35">
      <c r="A49" s="53">
        <v>16</v>
      </c>
      <c r="B49" s="178" t="s">
        <v>590</v>
      </c>
      <c r="C49" s="179"/>
      <c r="D49" s="179"/>
      <c r="E49" s="179"/>
      <c r="F49" s="179"/>
      <c r="G49" s="179"/>
      <c r="H49" s="179"/>
      <c r="I49" s="180"/>
      <c r="J49" s="33"/>
      <c r="K49" s="22"/>
      <c r="L49" s="22"/>
      <c r="M49" s="22"/>
      <c r="N49" s="22"/>
      <c r="O49" s="53">
        <v>16</v>
      </c>
      <c r="P49" s="67">
        <f>SUM(J49:N49)</f>
        <v>0</v>
      </c>
    </row>
    <row r="50" spans="1:16" ht="96" customHeight="1" x14ac:dyDescent="0.35">
      <c r="A50" s="53">
        <v>17</v>
      </c>
      <c r="B50" s="181" t="s">
        <v>683</v>
      </c>
      <c r="C50" s="181"/>
      <c r="D50" s="181"/>
      <c r="E50" s="181"/>
      <c r="F50" s="181"/>
      <c r="G50" s="181"/>
      <c r="H50" s="181"/>
      <c r="I50" s="181"/>
      <c r="J50" s="68">
        <f>IFERROR(IF(AND(J41&gt;0,$P48&lt;=0),J12+J41,J31),0)</f>
        <v>0</v>
      </c>
      <c r="K50" s="68">
        <f>IFERROR(IF(K41&gt;0,K12+K41,K31),0)</f>
        <v>0</v>
      </c>
      <c r="L50" s="68">
        <f>IFERROR(IF(L41&gt;0,L12+L41,L31),0)</f>
        <v>0</v>
      </c>
      <c r="M50" s="68">
        <f>IFERROR(IF(M41&gt;0,M12+M41,M31),0)</f>
        <v>0</v>
      </c>
      <c r="N50" s="68">
        <f>IFERROR(IF(N41&gt;0,N12+N41,N31),0)</f>
        <v>0</v>
      </c>
      <c r="O50" s="53">
        <v>17</v>
      </c>
      <c r="P50" s="67">
        <f t="shared" ref="P50:P57" si="4">SUM(J50:N50)</f>
        <v>0</v>
      </c>
    </row>
    <row r="51" spans="1:16" ht="57" customHeight="1" x14ac:dyDescent="0.35">
      <c r="A51" s="53">
        <v>18</v>
      </c>
      <c r="B51" s="182" t="s">
        <v>602</v>
      </c>
      <c r="C51" s="182"/>
      <c r="D51" s="182"/>
      <c r="E51" s="182"/>
      <c r="F51" s="182"/>
      <c r="G51" s="182"/>
      <c r="H51" s="182"/>
      <c r="I51" s="182"/>
      <c r="J51" s="68">
        <f>IFERROR(IF(AND($P44&lt;=0,$P47&lt;=0,$P48&lt;=0),J50*0.0547,0),0)</f>
        <v>0</v>
      </c>
      <c r="K51" s="68">
        <f>IFERROR(IF(AND($P44&lt;=0,$P47&lt;=0,$P48&lt;=0),K50*0.0547,0),0)</f>
        <v>0</v>
      </c>
      <c r="L51" s="68">
        <f>IFERROR(IF(AND($P44&lt;=0,$P47&lt;=0,$P48&lt;=0),L50*0.0547,0),0)</f>
        <v>0</v>
      </c>
      <c r="M51" s="68">
        <f>IFERROR(IF(AND($P44&lt;=0,$P47&lt;=0,$P48&lt;=0),M50*0.0547,0),0)</f>
        <v>0</v>
      </c>
      <c r="N51" s="68">
        <f>IFERROR(IF(AND($P44&lt;=0,$P47&lt;=0,$P48&lt;=0),N50*0.0547,0),0)</f>
        <v>0</v>
      </c>
      <c r="O51" s="53">
        <v>18</v>
      </c>
      <c r="P51" s="67">
        <f t="shared" si="4"/>
        <v>0</v>
      </c>
    </row>
    <row r="52" spans="1:16" ht="64.5" customHeight="1" x14ac:dyDescent="0.35">
      <c r="A52" s="53">
        <v>19</v>
      </c>
      <c r="B52" s="182" t="s">
        <v>601</v>
      </c>
      <c r="C52" s="182"/>
      <c r="D52" s="182"/>
      <c r="E52" s="182"/>
      <c r="F52" s="182"/>
      <c r="G52" s="182"/>
      <c r="H52" s="182"/>
      <c r="I52" s="182"/>
      <c r="J52" s="68">
        <f>IFERROR(IF(AND($P44&lt;=0,$P47&lt;=0,$P48&lt;=0),J50*0.04,0),0)</f>
        <v>0</v>
      </c>
      <c r="K52" s="68">
        <f>IFERROR(IF(AND($P44&lt;=0,$P47&lt;=0,$P48&lt;=0),K50*0.04,0),0)</f>
        <v>0</v>
      </c>
      <c r="L52" s="68">
        <f>IFERROR(IF(AND($P44&lt;=0,$P47&lt;=0,$P48&lt;=0),L50*0.04,0),0)</f>
        <v>0</v>
      </c>
      <c r="M52" s="68">
        <f>IFERROR(IF(AND($P44&lt;=0,$P47&lt;=0,$P48&lt;=0),M50*0.04,0),0)</f>
        <v>0</v>
      </c>
      <c r="N52" s="68">
        <f>IFERROR(IF(AND($P44&lt;=0,$P47&lt;=0,$P48&lt;=0),N50*0.04,0),0)</f>
        <v>0</v>
      </c>
      <c r="O52" s="53">
        <v>19</v>
      </c>
      <c r="P52" s="67">
        <f t="shared" ref="P52" si="5">SUM(J52:N52)</f>
        <v>0</v>
      </c>
    </row>
    <row r="53" spans="1:16" ht="66.5" customHeight="1" x14ac:dyDescent="0.35">
      <c r="A53" s="53">
        <v>20</v>
      </c>
      <c r="B53" s="183" t="s">
        <v>659</v>
      </c>
      <c r="C53" s="183"/>
      <c r="D53" s="183"/>
      <c r="E53" s="183"/>
      <c r="F53" s="183"/>
      <c r="G53" s="183"/>
      <c r="H53" s="183"/>
      <c r="I53" s="183"/>
      <c r="J53" s="68">
        <f>IFERROR(IF(AND(J50&gt;0,$P43=0,$P44=0,$P45=0,$P46=0,$P47=0),J50*0.033,0),0)</f>
        <v>0</v>
      </c>
      <c r="K53" s="68">
        <f>IFERROR(IF(AND(K50&gt;0,$P43=0,$P44=0,$P45=0,$P46=0,$P47=0),K50*0.033,0),0)</f>
        <v>0</v>
      </c>
      <c r="L53" s="68">
        <f>IFERROR(IF(AND(L50&gt;0,$P43=0,$P44=0,$P45=0,$P46=0,$P47=0),L50*0.033,0),0)</f>
        <v>0</v>
      </c>
      <c r="M53" s="68">
        <f>IFERROR(IF(AND(M50&gt;0,$P43=0,$P44=0,$P45=0,$P46=0,$P47=0),M50*0.033,0),0)</f>
        <v>0</v>
      </c>
      <c r="N53" s="68">
        <f>IFERROR(IF(AND(N50&gt;0,$P43=0,$P44=0,$P45=0,$P46=0,$P47=0),N50*0.033,0),0)</f>
        <v>0</v>
      </c>
      <c r="O53" s="53">
        <v>20</v>
      </c>
      <c r="P53" s="67">
        <f t="shared" si="4"/>
        <v>0</v>
      </c>
    </row>
    <row r="54" spans="1:16" ht="59" customHeight="1" x14ac:dyDescent="0.35">
      <c r="A54" s="53">
        <v>21</v>
      </c>
      <c r="B54" s="184" t="s">
        <v>600</v>
      </c>
      <c r="C54" s="185"/>
      <c r="D54" s="185"/>
      <c r="E54" s="185"/>
      <c r="F54" s="185"/>
      <c r="G54" s="185"/>
      <c r="H54" s="185"/>
      <c r="I54" s="186"/>
      <c r="J54" s="68">
        <f>IFERROR(IF(AND($P44=0,$P47&gt;0,$P48&lt;=0),J50*0.136,0),0)</f>
        <v>0</v>
      </c>
      <c r="K54" s="68">
        <f>IFERROR(IF(AND($P44=0,$P47&gt;0,$P48&lt;=0),K50*0.136,0),0)</f>
        <v>0</v>
      </c>
      <c r="L54" s="68">
        <f>IFERROR(IF(AND($P44=0,$P47&gt;0,$P48&lt;=0),L50*0.136,0),0)</f>
        <v>0</v>
      </c>
      <c r="M54" s="68">
        <f>IFERROR(IF(AND($P44=0,$P47&gt;0,$P48&lt;=0),M50*0.136,0),0)</f>
        <v>0</v>
      </c>
      <c r="N54" s="68">
        <f>IFERROR(IF(AND($P44=0,$P47&gt;0,$P48&lt;=0),N50*0.136,0),0)</f>
        <v>0</v>
      </c>
      <c r="O54" s="53">
        <v>21</v>
      </c>
      <c r="P54" s="67">
        <f t="shared" si="4"/>
        <v>0</v>
      </c>
    </row>
    <row r="55" spans="1:16" ht="59" customHeight="1" x14ac:dyDescent="0.35">
      <c r="A55" s="53">
        <v>22</v>
      </c>
      <c r="B55" s="182" t="s">
        <v>660</v>
      </c>
      <c r="C55" s="182"/>
      <c r="D55" s="182"/>
      <c r="E55" s="182"/>
      <c r="F55" s="182"/>
      <c r="G55" s="182"/>
      <c r="H55" s="182"/>
      <c r="I55" s="182"/>
      <c r="J55" s="68">
        <f>IFERROR(IF(AND(J50&gt;0,$P43=0,$P44=0,$P45=0,$P47=0,$P46&gt;0),J50*0.022,0),0)</f>
        <v>0</v>
      </c>
      <c r="K55" s="68">
        <f>IFERROR(IF(AND(K50&gt;0,$P43=0,$P44=0,$P45=0,$P47=0,$P46&gt;0),K50*0.022,0),0)</f>
        <v>0</v>
      </c>
      <c r="L55" s="68">
        <f>IFERROR(IF(AND(L50&gt;0,$P43=0,$P44=0,$P45=0,$P47=0,$P46&gt;0),L50*0.022,0),0)</f>
        <v>0</v>
      </c>
      <c r="M55" s="68">
        <f>IFERROR(IF(AND(M50&gt;0,$P43=0,$P44=0,$P45=0,$P47=0,$P46&gt;0),M50*0.022,0),0)</f>
        <v>0</v>
      </c>
      <c r="N55" s="68">
        <f>IFERROR(IF(AND(N50&gt;0,$P43=0,$P44=0,$P45=0,$P47=0,$P46&gt;0),N50*0.022,0),0)</f>
        <v>0</v>
      </c>
      <c r="O55" s="53">
        <v>22</v>
      </c>
      <c r="P55" s="67">
        <f t="shared" si="4"/>
        <v>0</v>
      </c>
    </row>
    <row r="56" spans="1:16" ht="40" customHeight="1" x14ac:dyDescent="0.35">
      <c r="A56" s="53">
        <v>23</v>
      </c>
      <c r="B56" s="167" t="s">
        <v>25</v>
      </c>
      <c r="C56" s="167"/>
      <c r="D56" s="167"/>
      <c r="E56" s="167"/>
      <c r="F56" s="167"/>
      <c r="G56" s="167"/>
      <c r="H56" s="167"/>
      <c r="I56" s="167"/>
      <c r="J56" s="34"/>
      <c r="K56" s="34"/>
      <c r="L56" s="34"/>
      <c r="M56" s="34"/>
      <c r="N56" s="34"/>
      <c r="O56" s="53">
        <v>23</v>
      </c>
      <c r="P56" s="67">
        <f t="shared" si="4"/>
        <v>0</v>
      </c>
    </row>
    <row r="57" spans="1:16" ht="42.5" customHeight="1" x14ac:dyDescent="0.35">
      <c r="A57" s="53">
        <v>24</v>
      </c>
      <c r="B57" s="168" t="s">
        <v>615</v>
      </c>
      <c r="C57" s="168"/>
      <c r="D57" s="168"/>
      <c r="E57" s="168"/>
      <c r="F57" s="168"/>
      <c r="G57" s="168"/>
      <c r="H57" s="168"/>
      <c r="I57" s="168"/>
      <c r="J57" s="69">
        <f>IFERROR(J49+J51+J52+J53+J54+J55+J56,0)</f>
        <v>0</v>
      </c>
      <c r="K57" s="69">
        <f>IFERROR(K49+K51+K52+K53+K54+K55+K56,0)</f>
        <v>0</v>
      </c>
      <c r="L57" s="69">
        <f>IFERROR(L49+L51+L52+L53+L54+L55+L56,0)</f>
        <v>0</v>
      </c>
      <c r="M57" s="69">
        <f>IFERROR(M49+M51+M52+M53+M54+M55+M56,0)</f>
        <v>0</v>
      </c>
      <c r="N57" s="69">
        <f>IFERROR(N49+N51+N52+N53+N54+N55+N56,0)</f>
        <v>0</v>
      </c>
      <c r="O57" s="53">
        <v>24</v>
      </c>
      <c r="P57" s="66">
        <f t="shared" si="4"/>
        <v>0</v>
      </c>
    </row>
    <row r="58" spans="1:16" ht="49" customHeight="1" x14ac:dyDescent="0.35">
      <c r="A58" s="169" t="s">
        <v>614</v>
      </c>
      <c r="B58" s="170"/>
      <c r="C58" s="170"/>
      <c r="D58" s="170"/>
      <c r="E58" s="170"/>
      <c r="F58" s="170"/>
      <c r="G58" s="170"/>
      <c r="H58" s="170"/>
      <c r="I58" s="170"/>
      <c r="J58" s="170"/>
      <c r="K58" s="170"/>
      <c r="L58" s="170"/>
      <c r="M58" s="170"/>
      <c r="N58" s="170"/>
      <c r="O58" s="170"/>
      <c r="P58" s="171"/>
    </row>
    <row r="59" spans="1:16" ht="21.65" customHeight="1" x14ac:dyDescent="0.35">
      <c r="A59" s="53">
        <v>25</v>
      </c>
      <c r="B59" s="172" t="s">
        <v>26</v>
      </c>
      <c r="C59" s="173"/>
      <c r="D59" s="173"/>
      <c r="E59" s="173"/>
      <c r="F59" s="173"/>
      <c r="G59" s="173"/>
      <c r="H59" s="173"/>
      <c r="I59" s="173"/>
      <c r="J59" s="35"/>
      <c r="K59" s="35"/>
      <c r="L59" s="35"/>
      <c r="M59" s="35"/>
      <c r="N59" s="35"/>
      <c r="O59" s="53">
        <v>25</v>
      </c>
      <c r="P59" s="54">
        <f>SUM(J59:N59)</f>
        <v>0</v>
      </c>
    </row>
    <row r="60" spans="1:16" ht="24" customHeight="1" x14ac:dyDescent="0.35">
      <c r="A60" s="53">
        <v>26</v>
      </c>
      <c r="B60" s="172" t="s">
        <v>27</v>
      </c>
      <c r="C60" s="173"/>
      <c r="D60" s="173"/>
      <c r="E60" s="173"/>
      <c r="F60" s="173"/>
      <c r="G60" s="173"/>
      <c r="H60" s="173"/>
      <c r="I60" s="173"/>
      <c r="J60" s="35"/>
      <c r="K60" s="35"/>
      <c r="L60" s="35"/>
      <c r="M60" s="35"/>
      <c r="N60" s="35"/>
      <c r="O60" s="53">
        <v>26</v>
      </c>
      <c r="P60" s="54">
        <f t="shared" ref="P60:P62" si="6">SUM(J60:N60)</f>
        <v>0</v>
      </c>
    </row>
    <row r="61" spans="1:16" ht="25.5" customHeight="1" x14ac:dyDescent="0.35">
      <c r="A61" s="53">
        <v>27</v>
      </c>
      <c r="B61" s="172" t="s">
        <v>28</v>
      </c>
      <c r="C61" s="173"/>
      <c r="D61" s="173"/>
      <c r="E61" s="173"/>
      <c r="F61" s="173"/>
      <c r="G61" s="173"/>
      <c r="H61" s="173"/>
      <c r="I61" s="173"/>
      <c r="J61" s="35"/>
      <c r="K61" s="35"/>
      <c r="L61" s="35"/>
      <c r="M61" s="35"/>
      <c r="N61" s="35"/>
      <c r="O61" s="53">
        <v>27</v>
      </c>
      <c r="P61" s="54">
        <f t="shared" si="6"/>
        <v>0</v>
      </c>
    </row>
    <row r="62" spans="1:16" ht="26.5" customHeight="1" x14ac:dyDescent="0.35">
      <c r="A62" s="53">
        <v>28</v>
      </c>
      <c r="B62" s="174" t="s">
        <v>603</v>
      </c>
      <c r="C62" s="174"/>
      <c r="D62" s="174"/>
      <c r="E62" s="174"/>
      <c r="F62" s="174"/>
      <c r="G62" s="174"/>
      <c r="H62" s="174"/>
      <c r="I62" s="174"/>
      <c r="J62" s="70">
        <f>SUM(J59:J61)</f>
        <v>0</v>
      </c>
      <c r="K62" s="70">
        <f>SUM(K59:K61)</f>
        <v>0</v>
      </c>
      <c r="L62" s="70">
        <f>SUM(L59:L61)</f>
        <v>0</v>
      </c>
      <c r="M62" s="70">
        <f t="shared" ref="M62:N62" si="7">SUM(M59:M61)</f>
        <v>0</v>
      </c>
      <c r="N62" s="70">
        <f t="shared" si="7"/>
        <v>0</v>
      </c>
      <c r="O62" s="53">
        <v>28</v>
      </c>
      <c r="P62" s="54">
        <f t="shared" si="6"/>
        <v>0</v>
      </c>
    </row>
    <row r="63" spans="1:16" ht="77.5" customHeight="1" x14ac:dyDescent="0.35">
      <c r="A63" s="175" t="s">
        <v>29</v>
      </c>
      <c r="B63" s="176"/>
      <c r="C63" s="176"/>
      <c r="D63" s="176"/>
      <c r="E63" s="176"/>
      <c r="F63" s="176"/>
      <c r="G63" s="176"/>
      <c r="H63" s="176"/>
      <c r="I63" s="176"/>
      <c r="J63" s="71" t="str">
        <f>IF(C7="Church Name - Dropdown","Church A",C7)</f>
        <v>Church A</v>
      </c>
      <c r="K63" s="71" t="str">
        <f>IF(F7="Church Name - Dropdown","Church B",F7)</f>
        <v>Church B</v>
      </c>
      <c r="L63" s="71" t="str">
        <f>IF(J7="Church Name - Dropdown","Church C",J7)</f>
        <v>Church C</v>
      </c>
      <c r="M63" s="71" t="str">
        <f>IF(M7="Church Name - Dropdown","Church D",M7)</f>
        <v>Church D</v>
      </c>
      <c r="N63" s="71" t="str">
        <f>IF(O7="Church Name - Dropdown","Church E",O7)</f>
        <v>Church E</v>
      </c>
      <c r="O63" s="72"/>
      <c r="P63" s="73" t="s">
        <v>12</v>
      </c>
    </row>
    <row r="64" spans="1:16" ht="55" customHeight="1" x14ac:dyDescent="0.35">
      <c r="A64" s="53">
        <v>29</v>
      </c>
      <c r="B64" s="164" t="s">
        <v>604</v>
      </c>
      <c r="C64" s="165"/>
      <c r="D64" s="165"/>
      <c r="E64" s="165"/>
      <c r="F64" s="165"/>
      <c r="G64" s="165"/>
      <c r="H64" s="165"/>
      <c r="I64" s="166"/>
      <c r="J64" s="74">
        <f>IFERROR(SUM(J31+J57+J62),0)</f>
        <v>0</v>
      </c>
      <c r="K64" s="74">
        <f>IFERROR(SUM(K31+K57+K62),0)</f>
        <v>0</v>
      </c>
      <c r="L64" s="74">
        <f>IFERROR(SUM(L31+L57+L62),0)</f>
        <v>0</v>
      </c>
      <c r="M64" s="74">
        <f>IFERROR(SUM(M31+M57+M62),0)</f>
        <v>0</v>
      </c>
      <c r="N64" s="74">
        <f>IFERROR(SUM(N31+N57+N62),0)</f>
        <v>0</v>
      </c>
      <c r="O64" s="53">
        <v>29</v>
      </c>
      <c r="P64" s="75">
        <f>SUM(J64:N64)</f>
        <v>0</v>
      </c>
    </row>
    <row r="65" spans="1:16" x14ac:dyDescent="0.35">
      <c r="A65" s="161"/>
      <c r="B65" s="162"/>
      <c r="C65" s="162"/>
      <c r="D65" s="162"/>
      <c r="E65" s="162"/>
      <c r="F65" s="162"/>
      <c r="G65" s="162"/>
      <c r="H65" s="162"/>
      <c r="I65" s="162"/>
      <c r="J65" s="162"/>
      <c r="K65" s="162"/>
      <c r="L65" s="162"/>
      <c r="M65" s="162"/>
      <c r="N65" s="162"/>
      <c r="O65" s="162"/>
      <c r="P65" s="163"/>
    </row>
    <row r="66" spans="1:16" ht="65" customHeight="1" x14ac:dyDescent="0.35">
      <c r="A66" s="158" t="s">
        <v>681</v>
      </c>
      <c r="B66" s="159"/>
      <c r="C66" s="159"/>
      <c r="D66" s="159"/>
      <c r="E66" s="159"/>
      <c r="F66" s="159"/>
      <c r="G66" s="159"/>
      <c r="H66" s="159"/>
      <c r="I66" s="159"/>
      <c r="J66" s="159"/>
      <c r="K66" s="159"/>
      <c r="L66" s="159"/>
      <c r="M66" s="159"/>
      <c r="N66" s="159"/>
      <c r="O66" s="159"/>
      <c r="P66" s="160"/>
    </row>
    <row r="67" spans="1:16" ht="32.5" customHeight="1" x14ac:dyDescent="0.35">
      <c r="A67" s="164" t="s">
        <v>13</v>
      </c>
      <c r="B67" s="165"/>
      <c r="C67" s="165"/>
      <c r="D67" s="165"/>
      <c r="E67" s="165"/>
      <c r="F67" s="165"/>
      <c r="G67" s="165"/>
      <c r="H67" s="165"/>
      <c r="I67" s="166"/>
      <c r="J67" s="112"/>
      <c r="K67" s="112"/>
      <c r="L67" s="112"/>
      <c r="M67" s="112"/>
      <c r="N67" s="112"/>
      <c r="O67" s="77"/>
      <c r="P67" s="76">
        <f>SUM(J67:N67)</f>
        <v>0</v>
      </c>
    </row>
    <row r="68" spans="1:16" ht="34" customHeight="1" x14ac:dyDescent="0.35">
      <c r="A68" s="164" t="s">
        <v>14</v>
      </c>
      <c r="B68" s="165"/>
      <c r="C68" s="165"/>
      <c r="D68" s="165"/>
      <c r="E68" s="165"/>
      <c r="F68" s="165"/>
      <c r="G68" s="165"/>
      <c r="H68" s="165"/>
      <c r="I68" s="166"/>
      <c r="J68" s="112"/>
      <c r="K68" s="112"/>
      <c r="L68" s="112"/>
      <c r="M68" s="112"/>
      <c r="N68" s="112"/>
      <c r="O68" s="77"/>
      <c r="P68" s="76">
        <f>SUM(J68:N68)</f>
        <v>0</v>
      </c>
    </row>
    <row r="69" spans="1:16" ht="26" customHeight="1" x14ac:dyDescent="0.35">
      <c r="A69" s="164" t="s">
        <v>15</v>
      </c>
      <c r="B69" s="165"/>
      <c r="C69" s="165"/>
      <c r="D69" s="165"/>
      <c r="E69" s="165"/>
      <c r="F69" s="165"/>
      <c r="G69" s="165"/>
      <c r="H69" s="165"/>
      <c r="I69" s="166"/>
      <c r="J69" s="112"/>
      <c r="K69" s="112"/>
      <c r="L69" s="112"/>
      <c r="M69" s="112"/>
      <c r="N69" s="112"/>
      <c r="O69" s="77"/>
      <c r="P69" s="76">
        <f>SUM(J69:N69)</f>
        <v>0</v>
      </c>
    </row>
    <row r="70" spans="1:16" ht="28" customHeight="1" x14ac:dyDescent="0.35">
      <c r="A70" s="164" t="s">
        <v>609</v>
      </c>
      <c r="B70" s="165"/>
      <c r="C70" s="165"/>
      <c r="D70" s="165"/>
      <c r="E70" s="165"/>
      <c r="F70" s="165"/>
      <c r="G70" s="165"/>
      <c r="H70" s="165"/>
      <c r="I70" s="166"/>
      <c r="J70" s="76">
        <f>SUM(J67:J69)</f>
        <v>0</v>
      </c>
      <c r="K70" s="76">
        <f>SUM(K67:K69)</f>
        <v>0</v>
      </c>
      <c r="L70" s="76">
        <f>SUM(L67:L69)</f>
        <v>0</v>
      </c>
      <c r="M70" s="76">
        <f>SUM(M67:M69)</f>
        <v>0</v>
      </c>
      <c r="N70" s="76">
        <f>SUM(N67:N69)</f>
        <v>0</v>
      </c>
      <c r="O70" s="77"/>
      <c r="P70" s="76">
        <f>SUM(J70:N70)</f>
        <v>0</v>
      </c>
    </row>
    <row r="71" spans="1:16" ht="33.5" customHeight="1" x14ac:dyDescent="0.35">
      <c r="A71" s="164" t="s">
        <v>610</v>
      </c>
      <c r="B71" s="165"/>
      <c r="C71" s="165"/>
      <c r="D71" s="165"/>
      <c r="E71" s="165"/>
      <c r="F71" s="165"/>
      <c r="G71" s="165"/>
      <c r="H71" s="165"/>
      <c r="I71" s="166"/>
      <c r="J71" s="68">
        <f>IFERROR(IF(J64&gt;0,J64-J70,0),0)</f>
        <v>0</v>
      </c>
      <c r="K71" s="68">
        <f>IFERROR(IF(K64&gt;0,K64-K70,0),0)</f>
        <v>0</v>
      </c>
      <c r="L71" s="68">
        <f>IFERROR(IF(L64&gt;0,L64-L70,0),0)</f>
        <v>0</v>
      </c>
      <c r="M71" s="68">
        <f>IFERROR(IF(M64&gt;0,M64-M70,0),0)</f>
        <v>0</v>
      </c>
      <c r="N71" s="68">
        <f>IFERROR(IF(N64&gt;0,N64-N70,0),0)</f>
        <v>0</v>
      </c>
      <c r="O71" s="77"/>
      <c r="P71" s="76">
        <f>SUM(J71:N71)</f>
        <v>0</v>
      </c>
    </row>
    <row r="72" spans="1:16" x14ac:dyDescent="0.35">
      <c r="A72" s="78"/>
      <c r="B72" s="79"/>
      <c r="C72" s="79"/>
      <c r="D72" s="79"/>
      <c r="E72" s="79"/>
      <c r="F72" s="79"/>
      <c r="G72" s="79"/>
      <c r="H72" s="79"/>
      <c r="I72" s="79"/>
      <c r="J72" s="80"/>
      <c r="K72" s="80"/>
      <c r="L72" s="80"/>
      <c r="M72" s="80"/>
      <c r="N72" s="80"/>
      <c r="O72" s="81"/>
      <c r="P72" s="80"/>
    </row>
    <row r="73" spans="1:16" x14ac:dyDescent="0.35">
      <c r="A73" s="177" t="s">
        <v>30</v>
      </c>
      <c r="B73" s="177"/>
      <c r="C73" s="177"/>
      <c r="D73" s="177"/>
      <c r="E73" s="177"/>
      <c r="F73" s="177"/>
      <c r="G73" s="177"/>
      <c r="H73" s="177"/>
      <c r="I73" s="177"/>
      <c r="J73" s="177"/>
      <c r="K73" s="177"/>
      <c r="L73" s="177"/>
      <c r="M73" s="177"/>
      <c r="N73" s="177"/>
      <c r="O73" s="177"/>
      <c r="P73" s="177"/>
    </row>
    <row r="74" spans="1:16" x14ac:dyDescent="0.35">
      <c r="A74" s="177"/>
      <c r="B74" s="177"/>
      <c r="C74" s="177"/>
      <c r="D74" s="177"/>
      <c r="E74" s="177"/>
      <c r="F74" s="177"/>
      <c r="G74" s="177"/>
      <c r="H74" s="177"/>
      <c r="I74" s="177"/>
      <c r="J74" s="177"/>
      <c r="K74" s="177"/>
      <c r="L74" s="177"/>
      <c r="M74" s="177"/>
      <c r="N74" s="177"/>
      <c r="O74" s="177"/>
      <c r="P74" s="177"/>
    </row>
    <row r="75" spans="1:16" x14ac:dyDescent="0.35">
      <c r="A75" s="82"/>
      <c r="B75" s="82"/>
      <c r="C75" s="82"/>
      <c r="D75" s="82"/>
      <c r="E75" s="82"/>
      <c r="F75" s="82"/>
      <c r="G75" s="82"/>
      <c r="H75" s="82"/>
      <c r="I75" s="82"/>
      <c r="J75" s="82"/>
      <c r="K75" s="82"/>
      <c r="L75" s="82"/>
      <c r="M75" s="82"/>
      <c r="N75" s="82"/>
      <c r="O75" s="82"/>
      <c r="P75" s="82"/>
    </row>
    <row r="76" spans="1:16" x14ac:dyDescent="0.35">
      <c r="A76" s="155" t="s">
        <v>587</v>
      </c>
      <c r="B76" s="155"/>
      <c r="C76" s="155"/>
      <c r="D76" s="155"/>
      <c r="E76" s="155"/>
      <c r="F76" s="155"/>
      <c r="G76" s="155"/>
      <c r="H76" s="155"/>
      <c r="I76" s="155"/>
      <c r="J76" s="155"/>
      <c r="K76" s="155"/>
      <c r="L76" s="155"/>
      <c r="M76" s="155"/>
      <c r="N76" s="155"/>
      <c r="O76" s="155"/>
      <c r="P76" s="155"/>
    </row>
    <row r="77" spans="1:16" x14ac:dyDescent="0.35">
      <c r="A77" s="155"/>
      <c r="B77" s="155"/>
      <c r="C77" s="155"/>
      <c r="D77" s="155"/>
      <c r="E77" s="155"/>
      <c r="F77" s="155"/>
      <c r="G77" s="155"/>
      <c r="H77" s="155"/>
      <c r="I77" s="155"/>
      <c r="J77" s="155"/>
      <c r="K77" s="155"/>
      <c r="L77" s="155"/>
      <c r="M77" s="155"/>
      <c r="N77" s="155"/>
      <c r="O77" s="155"/>
      <c r="P77" s="155"/>
    </row>
    <row r="78" spans="1:16" ht="21.65" customHeight="1" x14ac:dyDescent="0.35">
      <c r="A78" s="155"/>
      <c r="B78" s="155"/>
      <c r="C78" s="155"/>
      <c r="D78" s="155"/>
      <c r="E78" s="155"/>
      <c r="F78" s="155"/>
      <c r="G78" s="155"/>
      <c r="H78" s="155"/>
      <c r="I78" s="155"/>
      <c r="J78" s="155"/>
      <c r="K78" s="155"/>
      <c r="L78" s="155"/>
      <c r="M78" s="155"/>
      <c r="N78" s="155"/>
      <c r="O78" s="155"/>
      <c r="P78" s="155"/>
    </row>
    <row r="79" spans="1:16" x14ac:dyDescent="0.35">
      <c r="J79" s="84"/>
      <c r="K79" s="84"/>
      <c r="L79" s="84"/>
      <c r="M79" s="84"/>
      <c r="N79" s="84"/>
      <c r="O79" s="84"/>
      <c r="P79" s="84"/>
    </row>
    <row r="80" spans="1:16" ht="30.5" customHeight="1" thickBot="1" x14ac:dyDescent="0.4">
      <c r="A80" s="156" t="s">
        <v>31</v>
      </c>
      <c r="B80" s="156"/>
      <c r="C80" s="156"/>
      <c r="D80" s="156"/>
      <c r="E80" s="156"/>
      <c r="F80" s="157"/>
      <c r="G80" s="157"/>
      <c r="H80" s="157"/>
      <c r="I80" s="157"/>
      <c r="J80" s="157"/>
      <c r="K80" s="84"/>
      <c r="L80" s="84"/>
      <c r="M80" s="84"/>
      <c r="N80" s="84"/>
      <c r="O80" s="84"/>
      <c r="P80" s="84"/>
    </row>
    <row r="81" spans="1:16" x14ac:dyDescent="0.35">
      <c r="A81" s="85"/>
      <c r="B81" s="85"/>
      <c r="C81" s="85"/>
      <c r="D81" s="86"/>
      <c r="E81" s="86"/>
      <c r="F81" s="86"/>
      <c r="G81" s="86"/>
      <c r="H81" s="86"/>
      <c r="I81" s="86"/>
      <c r="J81" s="84"/>
      <c r="K81" s="84"/>
      <c r="L81" s="84"/>
      <c r="M81" s="84"/>
      <c r="N81" s="84"/>
      <c r="O81" s="84"/>
      <c r="P81" s="84"/>
    </row>
    <row r="82" spans="1:16" ht="16" customHeight="1" x14ac:dyDescent="0.4">
      <c r="A82" s="85"/>
      <c r="B82" s="85"/>
      <c r="C82" s="85"/>
      <c r="D82" s="133" t="s">
        <v>32</v>
      </c>
      <c r="E82" s="133"/>
      <c r="F82" s="133"/>
      <c r="G82" s="133"/>
      <c r="H82" s="133"/>
      <c r="I82" s="133"/>
      <c r="K82" s="87" t="s">
        <v>33</v>
      </c>
      <c r="L82" s="131" t="s">
        <v>34</v>
      </c>
      <c r="M82" s="131"/>
      <c r="N82" s="131"/>
      <c r="O82" s="131"/>
      <c r="P82" s="131"/>
    </row>
    <row r="83" spans="1:16" ht="29" customHeight="1" thickBot="1" x14ac:dyDescent="0.4">
      <c r="A83" s="132" t="s">
        <v>35</v>
      </c>
      <c r="B83" s="132"/>
      <c r="C83" s="132"/>
      <c r="D83" s="132"/>
      <c r="E83" s="130"/>
      <c r="F83" s="130"/>
      <c r="G83" s="130"/>
      <c r="H83" s="130"/>
      <c r="I83" s="130"/>
      <c r="J83" s="130"/>
      <c r="K83" s="38" t="b">
        <v>0</v>
      </c>
      <c r="L83" s="130"/>
      <c r="M83" s="130"/>
      <c r="N83" s="130"/>
      <c r="O83" s="130"/>
      <c r="P83" s="130"/>
    </row>
    <row r="84" spans="1:16" ht="30.5" customHeight="1" thickBot="1" x14ac:dyDescent="0.4">
      <c r="A84" s="132" t="str">
        <f>_xlfn.CONCAT("Church Council Chair - ",IF(AND(C7&gt;0,C7&lt;&gt;"Church Name - Dropdown"),C7,"Church Council Chair A"))</f>
        <v>Church Council Chair - Church Council Chair A</v>
      </c>
      <c r="B84" s="132"/>
      <c r="C84" s="132"/>
      <c r="D84" s="132"/>
      <c r="E84" s="130"/>
      <c r="F84" s="130"/>
      <c r="G84" s="130"/>
      <c r="H84" s="130"/>
      <c r="I84" s="130"/>
      <c r="J84" s="130"/>
      <c r="K84" s="38" t="b">
        <v>0</v>
      </c>
      <c r="L84" s="130"/>
      <c r="M84" s="130"/>
      <c r="N84" s="130"/>
      <c r="O84" s="130"/>
      <c r="P84" s="130"/>
    </row>
    <row r="85" spans="1:16" ht="32.5" customHeight="1" thickBot="1" x14ac:dyDescent="0.4">
      <c r="A85" s="132" t="str">
        <f>_xlfn.CONCAT("Church Council Chair - ",IF(AND(F7&gt;0,F7&lt;&gt;"Church Name - Dropdown"),F7,"Church Council Chair B:"))</f>
        <v>Church Council Chair - Church Council Chair B:</v>
      </c>
      <c r="B85" s="132"/>
      <c r="C85" s="132"/>
      <c r="D85" s="132"/>
      <c r="E85" s="130"/>
      <c r="F85" s="130"/>
      <c r="G85" s="130"/>
      <c r="H85" s="130"/>
      <c r="I85" s="130"/>
      <c r="J85" s="130"/>
      <c r="K85" s="39" t="b">
        <v>0</v>
      </c>
      <c r="L85" s="130"/>
      <c r="M85" s="130"/>
      <c r="N85" s="130"/>
      <c r="O85" s="130"/>
      <c r="P85" s="130"/>
    </row>
    <row r="86" spans="1:16" ht="32" customHeight="1" thickBot="1" x14ac:dyDescent="0.4">
      <c r="A86" s="132" t="str">
        <f>_xlfn.CONCAT("Church Council Chair - ",IF(AND(J7&gt;0,J7&lt;&gt;"Church Name - Dropdown"),J7,"Church Council Chair C:"))</f>
        <v>Church Council Chair - Church Council Chair C:</v>
      </c>
      <c r="B86" s="132"/>
      <c r="C86" s="132"/>
      <c r="D86" s="132"/>
      <c r="E86" s="130"/>
      <c r="F86" s="130"/>
      <c r="G86" s="130"/>
      <c r="H86" s="130"/>
      <c r="I86" s="130"/>
      <c r="J86" s="130"/>
      <c r="K86" s="40" t="b">
        <v>0</v>
      </c>
      <c r="L86" s="130"/>
      <c r="M86" s="130"/>
      <c r="N86" s="130"/>
      <c r="O86" s="130"/>
      <c r="P86" s="130"/>
    </row>
    <row r="87" spans="1:16" ht="32" customHeight="1" thickBot="1" x14ac:dyDescent="0.4">
      <c r="A87" s="132" t="str">
        <f>_xlfn.CONCAT("Church Council Chair - ",IF(AND(M7&gt;0,M7&lt;&gt;"Church Name - Dropdown"),M7,"Church Council Chair D:"))</f>
        <v>Church Council Chair - Church Council Chair D:</v>
      </c>
      <c r="B87" s="132"/>
      <c r="C87" s="132"/>
      <c r="D87" s="132"/>
      <c r="E87" s="130"/>
      <c r="F87" s="130"/>
      <c r="G87" s="130"/>
      <c r="H87" s="130"/>
      <c r="I87" s="130"/>
      <c r="J87" s="130"/>
      <c r="K87" s="40" t="b">
        <v>0</v>
      </c>
      <c r="L87" s="130"/>
      <c r="M87" s="130"/>
      <c r="N87" s="130"/>
      <c r="O87" s="130"/>
      <c r="P87" s="130"/>
    </row>
    <row r="88" spans="1:16" ht="32.5" customHeight="1" thickBot="1" x14ac:dyDescent="0.4">
      <c r="A88" s="132" t="str">
        <f>_xlfn.CONCAT("Church Council Chair - ",IF(AND(O7&gt;0,O7&lt;&gt;"Church Name - Dropdown"),O7,"Church Council Chair E:"))</f>
        <v>Church Council Chair - Church Council Chair E:</v>
      </c>
      <c r="B88" s="132"/>
      <c r="C88" s="132"/>
      <c r="D88" s="132"/>
      <c r="E88" s="130"/>
      <c r="F88" s="130"/>
      <c r="G88" s="130"/>
      <c r="H88" s="130"/>
      <c r="I88" s="130"/>
      <c r="J88" s="130"/>
      <c r="K88" s="39" t="b">
        <v>0</v>
      </c>
      <c r="L88" s="130"/>
      <c r="M88" s="130"/>
      <c r="N88" s="130"/>
      <c r="O88" s="130"/>
      <c r="P88" s="130"/>
    </row>
    <row r="89" spans="1:16" ht="32.5" customHeight="1" thickBot="1" x14ac:dyDescent="0.4">
      <c r="A89" s="132" t="str">
        <f>_xlfn.CONCAT("SPRC Chair - ",IF(AND(C7&gt;0,C7&lt;&gt;"Church Name - Dropdown"),C7,"SPRC Chair A:"))</f>
        <v>SPRC Chair - SPRC Chair A:</v>
      </c>
      <c r="B89" s="132"/>
      <c r="C89" s="132"/>
      <c r="D89" s="132"/>
      <c r="E89" s="130"/>
      <c r="F89" s="130"/>
      <c r="G89" s="130"/>
      <c r="H89" s="130"/>
      <c r="I89" s="130"/>
      <c r="J89" s="130"/>
      <c r="K89" s="38" t="b">
        <v>0</v>
      </c>
      <c r="L89" s="130"/>
      <c r="M89" s="130"/>
      <c r="N89" s="130"/>
      <c r="O89" s="130"/>
      <c r="P89" s="130"/>
    </row>
    <row r="90" spans="1:16" ht="31" customHeight="1" thickBot="1" x14ac:dyDescent="0.4">
      <c r="A90" s="132" t="str">
        <f>_xlfn.CONCAT("SPRC Chair - ",IF(AND(F7&gt;0,F7&lt;&gt;"Church Name - Dropdown"),F7,"SPRC Chair B:"))</f>
        <v>SPRC Chair - SPRC Chair B:</v>
      </c>
      <c r="B90" s="132"/>
      <c r="C90" s="132"/>
      <c r="D90" s="132"/>
      <c r="E90" s="130"/>
      <c r="F90" s="130"/>
      <c r="G90" s="130"/>
      <c r="H90" s="130"/>
      <c r="I90" s="130"/>
      <c r="J90" s="130"/>
      <c r="K90" s="39" t="b">
        <v>0</v>
      </c>
      <c r="L90" s="130"/>
      <c r="M90" s="130"/>
      <c r="N90" s="130"/>
      <c r="O90" s="130"/>
      <c r="P90" s="130"/>
    </row>
    <row r="91" spans="1:16" ht="32" customHeight="1" thickBot="1" x14ac:dyDescent="0.4">
      <c r="A91" s="132" t="str">
        <f>_xlfn.CONCAT("SPRC Chair - ",IF(AND(J7&gt;0,J7&lt;&gt;"Church Name - Dropdown"),J7,"SPRC Chair C:"))</f>
        <v>SPRC Chair - SPRC Chair C:</v>
      </c>
      <c r="B91" s="132"/>
      <c r="C91" s="132"/>
      <c r="D91" s="132"/>
      <c r="E91" s="130"/>
      <c r="F91" s="130"/>
      <c r="G91" s="130"/>
      <c r="H91" s="130"/>
      <c r="I91" s="130"/>
      <c r="J91" s="130"/>
      <c r="K91" s="39" t="b">
        <v>0</v>
      </c>
      <c r="L91" s="130"/>
      <c r="M91" s="130"/>
      <c r="N91" s="130"/>
      <c r="O91" s="130"/>
      <c r="P91" s="130"/>
    </row>
    <row r="92" spans="1:16" ht="32" customHeight="1" thickBot="1" x14ac:dyDescent="0.4">
      <c r="A92" s="132" t="str">
        <f>_xlfn.CONCAT("SPRC Chair - ",IF(AND(M7&gt;0,M7&lt;&gt;"Church Name - Dropdown"),M7,"SPRC Chair D:"))</f>
        <v>SPRC Chair - SPRC Chair D:</v>
      </c>
      <c r="B92" s="132"/>
      <c r="C92" s="132"/>
      <c r="D92" s="132"/>
      <c r="E92" s="130"/>
      <c r="F92" s="130"/>
      <c r="G92" s="130"/>
      <c r="H92" s="130"/>
      <c r="I92" s="130"/>
      <c r="J92" s="130"/>
      <c r="K92" s="39" t="b">
        <v>0</v>
      </c>
      <c r="L92" s="130"/>
      <c r="M92" s="130"/>
      <c r="N92" s="130"/>
      <c r="O92" s="130"/>
      <c r="P92" s="130"/>
    </row>
    <row r="93" spans="1:16" ht="34" customHeight="1" thickBot="1" x14ac:dyDescent="0.4">
      <c r="A93" s="132" t="str">
        <f>_xlfn.CONCAT("SPRC Chair - ",IF(AND(O7&gt;0,O7&lt;&gt;"Church Name - Dropdown"),O7,"SPRC Chair E:"))</f>
        <v>SPRC Chair - SPRC Chair E:</v>
      </c>
      <c r="B93" s="132"/>
      <c r="C93" s="132"/>
      <c r="D93" s="132"/>
      <c r="E93" s="130"/>
      <c r="F93" s="130"/>
      <c r="G93" s="130"/>
      <c r="H93" s="130"/>
      <c r="I93" s="130"/>
      <c r="J93" s="130"/>
      <c r="K93" s="39" t="b">
        <v>0</v>
      </c>
      <c r="L93" s="130"/>
      <c r="M93" s="130"/>
      <c r="N93" s="130"/>
      <c r="O93" s="130"/>
      <c r="P93" s="130"/>
    </row>
    <row r="94" spans="1:16" ht="29.5" customHeight="1" thickBot="1" x14ac:dyDescent="0.4">
      <c r="A94" s="132" t="s">
        <v>36</v>
      </c>
      <c r="B94" s="132"/>
      <c r="C94" s="132"/>
      <c r="D94" s="132"/>
      <c r="E94" s="130"/>
      <c r="F94" s="130"/>
      <c r="G94" s="130"/>
      <c r="H94" s="130"/>
      <c r="I94" s="130"/>
      <c r="J94" s="130"/>
      <c r="K94" s="39" t="b">
        <v>0</v>
      </c>
      <c r="L94" s="88"/>
      <c r="M94" s="88"/>
      <c r="N94" s="88"/>
      <c r="O94" s="88"/>
      <c r="P94" s="88"/>
    </row>
    <row r="95" spans="1:16" x14ac:dyDescent="0.35">
      <c r="A95" s="138"/>
      <c r="B95" s="138"/>
      <c r="C95" s="138"/>
      <c r="D95" s="138"/>
      <c r="E95" s="138"/>
      <c r="F95" s="138"/>
      <c r="G95" s="138"/>
      <c r="H95" s="138"/>
      <c r="I95" s="138"/>
      <c r="J95" s="138"/>
      <c r="K95" s="138"/>
      <c r="L95" s="138"/>
      <c r="M95" s="138"/>
      <c r="N95" s="138"/>
      <c r="O95" s="138"/>
      <c r="P95" s="138"/>
    </row>
    <row r="97" spans="1:16" ht="18.5" x14ac:dyDescent="0.45">
      <c r="A97" s="136" t="s">
        <v>589</v>
      </c>
      <c r="B97" s="139"/>
      <c r="C97" s="139"/>
      <c r="D97" s="139"/>
      <c r="E97" s="139"/>
      <c r="F97" s="139"/>
      <c r="G97" s="139"/>
      <c r="H97" s="139"/>
      <c r="I97" s="139"/>
      <c r="J97" s="139"/>
      <c r="K97" s="139"/>
      <c r="L97" s="139"/>
      <c r="M97" s="139"/>
      <c r="N97" s="139"/>
      <c r="O97" s="139"/>
      <c r="P97" s="139"/>
    </row>
    <row r="99" spans="1:16" x14ac:dyDescent="0.35">
      <c r="A99" s="140" t="s">
        <v>37</v>
      </c>
      <c r="B99" s="140"/>
      <c r="C99" s="140"/>
      <c r="D99" s="140"/>
      <c r="E99" s="140"/>
      <c r="F99" s="140"/>
      <c r="G99" s="140"/>
      <c r="H99" s="140"/>
      <c r="I99" s="140"/>
      <c r="J99" s="140"/>
      <c r="K99" s="140"/>
      <c r="L99" s="140"/>
      <c r="M99" s="140"/>
      <c r="N99" s="140"/>
      <c r="O99" s="140"/>
      <c r="P99" s="140"/>
    </row>
    <row r="100" spans="1:16" x14ac:dyDescent="0.35">
      <c r="A100" s="140"/>
      <c r="B100" s="140"/>
      <c r="C100" s="140"/>
      <c r="D100" s="140"/>
      <c r="E100" s="140"/>
      <c r="F100" s="140"/>
      <c r="G100" s="140"/>
      <c r="H100" s="140"/>
      <c r="I100" s="140"/>
      <c r="J100" s="140"/>
      <c r="K100" s="140"/>
      <c r="L100" s="140"/>
      <c r="M100" s="140"/>
      <c r="N100" s="140"/>
      <c r="O100" s="140"/>
      <c r="P100" s="140"/>
    </row>
    <row r="101" spans="1:16" x14ac:dyDescent="0.35">
      <c r="A101" s="140"/>
      <c r="B101" s="140"/>
      <c r="C101" s="140"/>
      <c r="D101" s="140"/>
      <c r="E101" s="140"/>
      <c r="F101" s="140"/>
      <c r="G101" s="140"/>
      <c r="H101" s="140"/>
      <c r="I101" s="140"/>
      <c r="J101" s="140"/>
      <c r="K101" s="140"/>
      <c r="L101" s="140"/>
      <c r="M101" s="140"/>
      <c r="N101" s="140"/>
      <c r="O101" s="140"/>
      <c r="P101" s="140"/>
    </row>
    <row r="102" spans="1:16" x14ac:dyDescent="0.35">
      <c r="A102" s="140"/>
      <c r="B102" s="140"/>
      <c r="C102" s="140"/>
      <c r="D102" s="140"/>
      <c r="E102" s="140"/>
      <c r="F102" s="140"/>
      <c r="G102" s="140"/>
      <c r="H102" s="140"/>
      <c r="I102" s="140"/>
      <c r="J102" s="140"/>
      <c r="K102" s="140"/>
      <c r="L102" s="140"/>
      <c r="M102" s="140"/>
      <c r="N102" s="140"/>
      <c r="O102" s="140"/>
      <c r="P102" s="140"/>
    </row>
    <row r="103" spans="1:16" x14ac:dyDescent="0.35">
      <c r="A103" s="140"/>
      <c r="B103" s="140"/>
      <c r="C103" s="140"/>
      <c r="D103" s="140"/>
      <c r="E103" s="140"/>
      <c r="F103" s="140"/>
      <c r="G103" s="140"/>
      <c r="H103" s="140"/>
      <c r="I103" s="140"/>
      <c r="J103" s="140"/>
      <c r="K103" s="140"/>
      <c r="L103" s="140"/>
      <c r="M103" s="140"/>
      <c r="N103" s="140"/>
      <c r="O103" s="140"/>
      <c r="P103" s="140"/>
    </row>
    <row r="104" spans="1:16" x14ac:dyDescent="0.35">
      <c r="A104" s="89"/>
      <c r="B104" s="89"/>
      <c r="C104" s="89"/>
      <c r="D104" s="89"/>
      <c r="E104" s="89"/>
      <c r="F104" s="89"/>
      <c r="G104" s="89"/>
      <c r="H104" s="89"/>
      <c r="I104" s="89"/>
      <c r="J104" s="89"/>
      <c r="K104" s="89"/>
      <c r="L104" s="89"/>
      <c r="M104" s="89"/>
      <c r="N104" s="89"/>
      <c r="O104" s="89"/>
      <c r="P104" s="89"/>
    </row>
    <row r="105" spans="1:16" x14ac:dyDescent="0.35">
      <c r="A105" s="141" t="s">
        <v>588</v>
      </c>
      <c r="B105" s="141"/>
      <c r="C105" s="141"/>
      <c r="D105" s="141"/>
      <c r="E105" s="141"/>
      <c r="F105" s="141"/>
      <c r="G105" s="141"/>
      <c r="H105" s="141"/>
      <c r="I105" s="141"/>
      <c r="J105" s="141"/>
      <c r="K105" s="141"/>
      <c r="L105" s="141"/>
      <c r="M105" s="141"/>
      <c r="N105" s="141"/>
      <c r="O105" s="141"/>
      <c r="P105" s="141"/>
    </row>
    <row r="106" spans="1:16" ht="23.15" customHeight="1" x14ac:dyDescent="0.35">
      <c r="A106" s="141"/>
      <c r="B106" s="141"/>
      <c r="C106" s="141"/>
      <c r="D106" s="141"/>
      <c r="E106" s="141"/>
      <c r="F106" s="141"/>
      <c r="G106" s="141"/>
      <c r="H106" s="141"/>
      <c r="I106" s="141"/>
      <c r="J106" s="141"/>
      <c r="K106" s="141"/>
      <c r="L106" s="141"/>
      <c r="M106" s="141"/>
      <c r="N106" s="141"/>
      <c r="O106" s="141"/>
      <c r="P106" s="141"/>
    </row>
    <row r="107" spans="1:16" ht="16" x14ac:dyDescent="0.4">
      <c r="A107" s="90"/>
      <c r="B107" s="90"/>
      <c r="C107" s="90"/>
      <c r="D107" s="90"/>
      <c r="E107" s="90"/>
      <c r="F107" s="90"/>
      <c r="G107" s="90"/>
      <c r="H107" s="90"/>
      <c r="I107" s="90"/>
      <c r="J107" s="90"/>
      <c r="K107" s="90"/>
      <c r="L107" s="90"/>
      <c r="M107" s="90"/>
      <c r="N107" s="90"/>
      <c r="O107" s="90"/>
      <c r="P107" s="90"/>
    </row>
    <row r="108" spans="1:16" ht="28" customHeight="1" thickBot="1" x14ac:dyDescent="0.45">
      <c r="A108" s="134" t="s">
        <v>38</v>
      </c>
      <c r="B108" s="134"/>
      <c r="C108" s="130"/>
      <c r="D108" s="130"/>
      <c r="E108" s="130"/>
      <c r="F108" s="130"/>
      <c r="G108" s="91"/>
    </row>
    <row r="109" spans="1:16" ht="26.5" customHeight="1" thickBot="1" x14ac:dyDescent="0.45">
      <c r="A109" s="134" t="s">
        <v>39</v>
      </c>
      <c r="B109" s="134"/>
      <c r="C109" s="130"/>
      <c r="D109" s="130"/>
      <c r="E109" s="130"/>
      <c r="F109" s="130"/>
      <c r="G109" s="130"/>
      <c r="H109" s="130"/>
      <c r="I109" s="130"/>
      <c r="J109" s="130"/>
      <c r="K109" s="91"/>
    </row>
    <row r="110" spans="1:16" ht="16.5" thickBot="1" x14ac:dyDescent="0.4">
      <c r="A110" s="92"/>
      <c r="B110" s="92"/>
      <c r="C110" s="92"/>
      <c r="D110" s="92"/>
      <c r="E110" s="92"/>
      <c r="F110" s="92"/>
      <c r="G110" s="92"/>
      <c r="H110" s="92"/>
      <c r="I110" s="92"/>
      <c r="J110" s="92"/>
      <c r="K110" s="92"/>
      <c r="L110" s="92"/>
      <c r="M110" s="92"/>
      <c r="N110" s="92"/>
      <c r="O110" s="92"/>
      <c r="P110" s="92"/>
    </row>
    <row r="111" spans="1:16" x14ac:dyDescent="0.35">
      <c r="A111" s="93"/>
      <c r="P111" s="94"/>
    </row>
    <row r="112" spans="1:16" ht="18.5" x14ac:dyDescent="0.45">
      <c r="A112" s="135" t="s">
        <v>40</v>
      </c>
      <c r="B112" s="136"/>
      <c r="C112" s="136"/>
      <c r="D112" s="136"/>
      <c r="E112" s="136"/>
      <c r="F112" s="136"/>
      <c r="G112" s="136"/>
      <c r="H112" s="136"/>
      <c r="I112" s="136"/>
      <c r="J112" s="136"/>
      <c r="K112" s="136"/>
      <c r="L112" s="136"/>
      <c r="M112" s="136"/>
      <c r="N112" s="136"/>
      <c r="O112" s="136"/>
      <c r="P112" s="137"/>
    </row>
    <row r="113" spans="1:16" x14ac:dyDescent="0.35">
      <c r="A113" s="95"/>
      <c r="P113" s="94"/>
    </row>
    <row r="114" spans="1:16" ht="16" x14ac:dyDescent="0.4">
      <c r="A114" s="96"/>
      <c r="B114" s="97"/>
      <c r="C114" s="98"/>
      <c r="D114" s="98"/>
      <c r="E114" s="98"/>
      <c r="F114" s="98"/>
      <c r="G114" s="129" t="s">
        <v>41</v>
      </c>
      <c r="H114" s="129"/>
      <c r="I114" s="129"/>
      <c r="J114" s="129"/>
      <c r="K114" s="129"/>
      <c r="L114" s="129"/>
      <c r="M114" s="91"/>
      <c r="N114" s="91"/>
      <c r="O114" s="91"/>
      <c r="P114" s="99"/>
    </row>
    <row r="115" spans="1:16" ht="16.5" thickBot="1" x14ac:dyDescent="0.45">
      <c r="A115" s="2"/>
      <c r="B115" s="2"/>
      <c r="C115" s="292" t="str">
        <f>IF(AND(C7&gt;0,C7&lt;&gt;"Church Name - Dropdown"),C7,"CHURCH A:")</f>
        <v>CHURCH A:</v>
      </c>
      <c r="D115" s="292"/>
      <c r="E115" s="292"/>
      <c r="F115" s="292"/>
      <c r="G115" s="83"/>
      <c r="H115" s="83"/>
      <c r="I115" s="287" t="str">
        <f>IF(O41&gt;0, IF(J24&gt;0,"$"&amp;J24,"$0"),"")</f>
        <v/>
      </c>
      <c r="J115" s="287"/>
      <c r="K115" s="287"/>
      <c r="L115" s="287"/>
      <c r="M115" s="91"/>
      <c r="N115" s="91"/>
      <c r="O115" s="91"/>
      <c r="P115" s="99"/>
    </row>
    <row r="116" spans="1:16" ht="16.5" thickBot="1" x14ac:dyDescent="0.45">
      <c r="A116" s="83"/>
      <c r="B116" s="83"/>
      <c r="C116" s="293" t="str">
        <f>IF(AND(F7&gt;0,F7&lt;&gt;"Church Name - Dropdown"),F7,"CHURCH B:")</f>
        <v>CHURCH B:</v>
      </c>
      <c r="D116" s="293"/>
      <c r="E116" s="293"/>
      <c r="F116" s="293"/>
      <c r="G116" s="83"/>
      <c r="H116" s="83"/>
      <c r="I116" s="290" t="str">
        <f>IF(O41&gt;0, IF(K24&gt;0,"$"&amp;K24,"$0"),"")</f>
        <v/>
      </c>
      <c r="J116" s="290"/>
      <c r="K116" s="290"/>
      <c r="L116" s="290"/>
      <c r="M116" s="2"/>
      <c r="N116" s="2"/>
      <c r="O116" s="2"/>
      <c r="P116" s="100"/>
    </row>
    <row r="117" spans="1:16" ht="16.5" thickBot="1" x14ac:dyDescent="0.45">
      <c r="A117" s="2"/>
      <c r="B117" s="2"/>
      <c r="C117" s="285" t="str">
        <f>IF(AND(J7&gt;0,J7&lt;&gt;"Church Name - Dropdown"),J7,"CHURCH C:")</f>
        <v>CHURCH C:</v>
      </c>
      <c r="D117" s="285"/>
      <c r="E117" s="285"/>
      <c r="F117" s="285"/>
      <c r="G117" s="2"/>
      <c r="H117" s="2"/>
      <c r="I117" s="291" t="str">
        <f>IF(O41&gt;0, IF(L24&gt;0,"$"&amp;L24,"$0"),"")</f>
        <v/>
      </c>
      <c r="J117" s="291"/>
      <c r="K117" s="291"/>
      <c r="L117" s="291"/>
      <c r="M117" s="2"/>
      <c r="N117" s="2"/>
      <c r="O117" s="2"/>
      <c r="P117" s="100"/>
    </row>
    <row r="118" spans="1:16" ht="16.5" thickBot="1" x14ac:dyDescent="0.45">
      <c r="A118" s="2"/>
      <c r="B118" s="2"/>
      <c r="C118" s="285" t="str">
        <f>IF(AND(M7&gt;0,M7&lt;&gt;"Church Name - Dropdown"),M7,"CHURCH D:")</f>
        <v>CHURCH D:</v>
      </c>
      <c r="D118" s="285"/>
      <c r="E118" s="285"/>
      <c r="F118" s="285"/>
      <c r="G118" s="2"/>
      <c r="H118" s="2"/>
      <c r="I118" s="291" t="str">
        <f>IF(O41&gt;0, IF(M24&gt;0,"$"&amp;M24,"$0"),"")</f>
        <v/>
      </c>
      <c r="J118" s="291"/>
      <c r="K118" s="291"/>
      <c r="L118" s="291"/>
      <c r="M118" s="101"/>
      <c r="N118" s="101"/>
      <c r="O118" s="101"/>
      <c r="P118" s="102"/>
    </row>
    <row r="119" spans="1:16" ht="16.5" thickBot="1" x14ac:dyDescent="0.45">
      <c r="A119" s="2"/>
      <c r="B119" s="2"/>
      <c r="C119" s="285" t="str">
        <f>IF(AND(O7&gt;0,O7&lt;&gt;"Church Name - Dropdown"),O7,"CHURCH E:")</f>
        <v>CHURCH E:</v>
      </c>
      <c r="D119" s="285"/>
      <c r="E119" s="285"/>
      <c r="F119" s="285"/>
      <c r="G119" s="2"/>
      <c r="H119" s="2"/>
      <c r="I119" s="291" t="str">
        <f>IF(O41&gt;0, IF(N24&gt;0,"$"&amp;N24,"$0"),"")</f>
        <v/>
      </c>
      <c r="J119" s="291"/>
      <c r="K119" s="291"/>
      <c r="L119" s="291"/>
      <c r="M119" s="101"/>
      <c r="N119" s="101"/>
      <c r="O119" s="101"/>
      <c r="P119" s="102"/>
    </row>
    <row r="120" spans="1:16" x14ac:dyDescent="0.35">
      <c r="A120" s="95"/>
      <c r="H120" s="103"/>
      <c r="I120" s="103"/>
      <c r="P120" s="94"/>
    </row>
    <row r="121" spans="1:16" x14ac:dyDescent="0.35">
      <c r="A121" s="294" t="s">
        <v>612</v>
      </c>
      <c r="B121" s="295"/>
      <c r="C121" s="295"/>
      <c r="D121" s="295"/>
      <c r="E121" s="295"/>
      <c r="F121" s="295"/>
      <c r="G121" s="295"/>
      <c r="H121" s="295"/>
      <c r="I121" s="295"/>
      <c r="J121" s="295"/>
      <c r="K121" s="295"/>
      <c r="L121" s="295"/>
      <c r="M121" s="295"/>
      <c r="N121" s="295"/>
      <c r="O121" s="295"/>
      <c r="P121" s="296"/>
    </row>
    <row r="122" spans="1:16" ht="58" customHeight="1" thickBot="1" x14ac:dyDescent="0.4">
      <c r="A122" s="297"/>
      <c r="B122" s="298"/>
      <c r="C122" s="298"/>
      <c r="D122" s="298"/>
      <c r="E122" s="298"/>
      <c r="F122" s="298"/>
      <c r="G122" s="298"/>
      <c r="H122" s="298"/>
      <c r="I122" s="298"/>
      <c r="J122" s="298"/>
      <c r="K122" s="298"/>
      <c r="L122" s="298"/>
      <c r="M122" s="298"/>
      <c r="N122" s="298"/>
      <c r="O122" s="298"/>
      <c r="P122" s="299"/>
    </row>
    <row r="124" spans="1:16" ht="15" thickBot="1" x14ac:dyDescent="0.4">
      <c r="A124" s="104"/>
      <c r="B124" s="104"/>
      <c r="C124" s="104"/>
      <c r="D124" s="104"/>
      <c r="E124" s="104"/>
      <c r="F124" s="104"/>
      <c r="G124" s="104"/>
      <c r="H124" s="104"/>
      <c r="I124" s="104"/>
      <c r="J124" s="104"/>
      <c r="K124" s="104"/>
      <c r="L124" s="104"/>
      <c r="M124" s="104"/>
      <c r="N124" s="104"/>
      <c r="O124" s="104"/>
      <c r="P124" s="104"/>
    </row>
    <row r="125" spans="1:16" x14ac:dyDescent="0.35">
      <c r="A125" s="93"/>
      <c r="P125" s="94"/>
    </row>
    <row r="126" spans="1:16" ht="18.5" x14ac:dyDescent="0.45">
      <c r="A126" s="135" t="s">
        <v>42</v>
      </c>
      <c r="B126" s="136"/>
      <c r="C126" s="136"/>
      <c r="D126" s="136"/>
      <c r="E126" s="136"/>
      <c r="F126" s="136"/>
      <c r="G126" s="136"/>
      <c r="H126" s="136"/>
      <c r="I126" s="136"/>
      <c r="J126" s="136"/>
      <c r="K126" s="136"/>
      <c r="L126" s="136"/>
      <c r="M126" s="136"/>
      <c r="N126" s="136"/>
      <c r="O126" s="136"/>
      <c r="P126" s="137"/>
    </row>
    <row r="127" spans="1:16" x14ac:dyDescent="0.35">
      <c r="A127" s="95"/>
      <c r="P127" s="94"/>
    </row>
    <row r="128" spans="1:16" ht="16" x14ac:dyDescent="0.4">
      <c r="A128" s="105"/>
      <c r="B128" s="106"/>
      <c r="C128" s="98"/>
      <c r="D128" s="98"/>
      <c r="E128" s="98"/>
      <c r="F128" s="98"/>
      <c r="G128" s="289" t="s">
        <v>41</v>
      </c>
      <c r="H128" s="289"/>
      <c r="I128" s="289"/>
      <c r="J128" s="289"/>
      <c r="K128" s="289"/>
      <c r="L128" s="289"/>
      <c r="M128" s="98"/>
      <c r="N128" s="98"/>
      <c r="O128" s="98"/>
      <c r="P128" s="94"/>
    </row>
    <row r="129" spans="1:16" ht="16.5" thickBot="1" x14ac:dyDescent="0.45">
      <c r="A129" s="107"/>
      <c r="B129" s="2"/>
      <c r="C129" s="288" t="str">
        <f>IF(AND(C7&gt;0,C7&lt;&gt;"Church Name - Dropdown"),C7,"CHURCH A:")</f>
        <v>CHURCH A:</v>
      </c>
      <c r="D129" s="288"/>
      <c r="E129" s="288"/>
      <c r="F129" s="288"/>
      <c r="G129" s="108"/>
      <c r="H129" s="108"/>
      <c r="I129" s="287" t="str">
        <f>IF(O41=0, IF(J24&gt;0,"$"&amp;J24,"$0"),"")</f>
        <v>$0</v>
      </c>
      <c r="J129" s="287"/>
      <c r="K129" s="287"/>
      <c r="L129" s="287"/>
      <c r="M129" s="2"/>
      <c r="N129" s="2"/>
      <c r="O129" s="2"/>
      <c r="P129" s="94"/>
    </row>
    <row r="130" spans="1:16" ht="16.5" thickBot="1" x14ac:dyDescent="0.45">
      <c r="A130" s="107"/>
      <c r="B130" s="2"/>
      <c r="C130" s="288" t="str">
        <f>IF(AND(F7&gt;0,F7&lt;&gt;"Church Name - Dropdown"),F7,"CHURCH B:")</f>
        <v>CHURCH B:</v>
      </c>
      <c r="D130" s="288"/>
      <c r="E130" s="288"/>
      <c r="F130" s="288"/>
      <c r="G130" s="2"/>
      <c r="H130" s="2"/>
      <c r="I130" s="287" t="str">
        <f>IF(O41=0, IF(K24&gt;0,"$"&amp;K24,"$0"),"")</f>
        <v>$0</v>
      </c>
      <c r="J130" s="287"/>
      <c r="K130" s="287"/>
      <c r="L130" s="287"/>
      <c r="M130" s="2"/>
      <c r="N130" s="2"/>
      <c r="O130" s="2"/>
      <c r="P130" s="109"/>
    </row>
    <row r="131" spans="1:16" ht="16.5" thickBot="1" x14ac:dyDescent="0.45">
      <c r="A131" s="107"/>
      <c r="B131" s="2"/>
      <c r="C131" s="288" t="str">
        <f>IF(AND(J7&gt;0,J7&lt;&gt;"Church Name - Dropdown"),J7,"CHURCH C:")</f>
        <v>CHURCH C:</v>
      </c>
      <c r="D131" s="288"/>
      <c r="E131" s="288"/>
      <c r="F131" s="288"/>
      <c r="G131" s="2"/>
      <c r="H131" s="2"/>
      <c r="I131" s="287" t="str">
        <f>IF(O41=0, IF(L24&gt;0,"$"&amp;L24,"$0"),"")</f>
        <v>$0</v>
      </c>
      <c r="J131" s="287"/>
      <c r="K131" s="287"/>
      <c r="L131" s="287"/>
      <c r="M131" s="2"/>
      <c r="N131" s="2"/>
      <c r="O131" s="2"/>
      <c r="P131" s="109"/>
    </row>
    <row r="132" spans="1:16" ht="16.5" thickBot="1" x14ac:dyDescent="0.45">
      <c r="A132" s="2"/>
      <c r="B132" s="2"/>
      <c r="C132" s="288" t="str">
        <f>IF(AND(M7&gt;0,M7&lt;&gt;"Church Name - Dropdown"),M7,"CHURCH D:")</f>
        <v>CHURCH D:</v>
      </c>
      <c r="D132" s="288"/>
      <c r="E132" s="288"/>
      <c r="F132" s="288"/>
      <c r="G132" s="2"/>
      <c r="H132" s="2"/>
      <c r="I132" s="287" t="str">
        <f>IF(O41=0, IF(M24&gt;0,"$"&amp;M24,"$0"),"")</f>
        <v>$0</v>
      </c>
      <c r="J132" s="287"/>
      <c r="K132" s="287"/>
      <c r="L132" s="287"/>
      <c r="M132" s="2"/>
      <c r="N132" s="2"/>
      <c r="O132" s="2"/>
      <c r="P132" s="109"/>
    </row>
    <row r="133" spans="1:16" ht="16.5" thickBot="1" x14ac:dyDescent="0.45">
      <c r="A133" s="107"/>
      <c r="B133" s="2"/>
      <c r="C133" s="288" t="str">
        <f>IF(AND(O7&gt;0,O7&lt;&gt;"Church Name - Dropdown"),O7,"CHURCH E:")</f>
        <v>CHURCH E:</v>
      </c>
      <c r="D133" s="288"/>
      <c r="E133" s="288"/>
      <c r="F133" s="288"/>
      <c r="G133" s="2"/>
      <c r="H133" s="2"/>
      <c r="I133" s="287" t="str">
        <f>IF(O41=0, IF(N24&gt;0,"$"&amp;N24,"$0"),"")</f>
        <v>$0</v>
      </c>
      <c r="J133" s="287"/>
      <c r="K133" s="287"/>
      <c r="L133" s="287"/>
      <c r="M133" s="2"/>
      <c r="N133" s="2"/>
      <c r="O133" s="2"/>
      <c r="P133" s="109"/>
    </row>
    <row r="134" spans="1:16" ht="16" x14ac:dyDescent="0.4">
      <c r="A134" s="110"/>
      <c r="B134" s="111"/>
      <c r="P134" s="94"/>
    </row>
    <row r="135" spans="1:16" ht="16" x14ac:dyDescent="0.4">
      <c r="A135" s="110"/>
      <c r="B135" s="111"/>
      <c r="C135" s="103"/>
      <c r="D135" s="103"/>
      <c r="E135" s="103"/>
      <c r="F135" s="103"/>
      <c r="G135" s="286" t="s">
        <v>43</v>
      </c>
      <c r="H135" s="286"/>
      <c r="I135" s="286"/>
      <c r="J135" s="286"/>
      <c r="K135" s="286"/>
      <c r="L135" s="286"/>
      <c r="P135" s="94"/>
    </row>
    <row r="136" spans="1:16" ht="16.5" thickBot="1" x14ac:dyDescent="0.45">
      <c r="A136" s="284"/>
      <c r="B136" s="285"/>
      <c r="C136" s="288" t="str">
        <f>IF(AND(C7&gt;0,C7&lt;&gt;"Church Name - Dropdown"),C7,"CHURCH A:")</f>
        <v>CHURCH A:</v>
      </c>
      <c r="D136" s="288"/>
      <c r="E136" s="288"/>
      <c r="F136" s="288"/>
      <c r="I136" s="287" t="str">
        <f>IF(O41=0, IF(J17&gt;0,"$"&amp;J17,"$0"),"")</f>
        <v>$0</v>
      </c>
      <c r="J136" s="287"/>
      <c r="K136" s="287"/>
      <c r="L136" s="287"/>
      <c r="P136" s="94"/>
    </row>
    <row r="137" spans="1:16" ht="16.5" thickBot="1" x14ac:dyDescent="0.45">
      <c r="A137" s="284"/>
      <c r="B137" s="285"/>
      <c r="C137" s="288" t="str">
        <f>IF(AND(F7&gt;0,F7&lt;&gt;"Church Name - Dropdown"),F7,"CHURCH B:")</f>
        <v>CHURCH B:</v>
      </c>
      <c r="D137" s="288"/>
      <c r="E137" s="288"/>
      <c r="F137" s="288"/>
      <c r="I137" s="287" t="str">
        <f>IF(O41=0, IF(K17&gt;0,"$"&amp;K17,"$0"),"")</f>
        <v>$0</v>
      </c>
      <c r="J137" s="287"/>
      <c r="K137" s="287"/>
      <c r="L137" s="287"/>
      <c r="P137" s="94"/>
    </row>
    <row r="138" spans="1:16" ht="16.5" thickBot="1" x14ac:dyDescent="0.45">
      <c r="A138" s="284"/>
      <c r="B138" s="285"/>
      <c r="C138" s="288" t="str">
        <f>IF(AND(J7&gt;0,J7&lt;&gt;"Church Name - Dropdown"),J7,"CHURCH C:")</f>
        <v>CHURCH C:</v>
      </c>
      <c r="D138" s="288"/>
      <c r="E138" s="288"/>
      <c r="F138" s="288"/>
      <c r="I138" s="287" t="str">
        <f>IF(O41=0, IF(L17&gt;0,"$"&amp;L17,"$0"),"")</f>
        <v>$0</v>
      </c>
      <c r="J138" s="287"/>
      <c r="K138" s="287"/>
      <c r="L138" s="287"/>
      <c r="P138" s="94"/>
    </row>
    <row r="139" spans="1:16" ht="16.5" thickBot="1" x14ac:dyDescent="0.45">
      <c r="A139" s="285"/>
      <c r="B139" s="285"/>
      <c r="C139" s="288" t="str">
        <f>IF(AND(M7&gt;0,M7&lt;&gt;"Church Name - Dropdown"),M7,"CHURCH D:")</f>
        <v>CHURCH D:</v>
      </c>
      <c r="D139" s="288"/>
      <c r="E139" s="288"/>
      <c r="F139" s="288"/>
      <c r="I139" s="287" t="str">
        <f>IF(O41=0, IF(M17&gt;0,"$"&amp;M17,"$0"),"")</f>
        <v>$0</v>
      </c>
      <c r="J139" s="287"/>
      <c r="K139" s="287"/>
      <c r="L139" s="287"/>
      <c r="P139" s="94"/>
    </row>
    <row r="140" spans="1:16" ht="16.5" thickBot="1" x14ac:dyDescent="0.45">
      <c r="A140" s="284"/>
      <c r="B140" s="285"/>
      <c r="C140" s="288" t="str">
        <f>IF(AND(O7&gt;0,O7&lt;&gt;"Church Name - Dropdown"),O7,"CHURCH E:")</f>
        <v>CHURCH E:</v>
      </c>
      <c r="D140" s="288"/>
      <c r="E140" s="288"/>
      <c r="F140" s="288"/>
      <c r="I140" s="287" t="str">
        <f>IF(O41=0, IF(N17&gt;0,"$"&amp;N17,"$0"),"")</f>
        <v>$0</v>
      </c>
      <c r="J140" s="287"/>
      <c r="K140" s="287"/>
      <c r="L140" s="287"/>
      <c r="P140" s="94"/>
    </row>
    <row r="141" spans="1:16" x14ac:dyDescent="0.35">
      <c r="A141" s="147" t="s">
        <v>613</v>
      </c>
      <c r="B141" s="148"/>
      <c r="C141" s="148"/>
      <c r="D141" s="148"/>
      <c r="E141" s="148"/>
      <c r="F141" s="148"/>
      <c r="G141" s="148"/>
      <c r="H141" s="148"/>
      <c r="I141" s="148"/>
      <c r="J141" s="148"/>
      <c r="K141" s="148"/>
      <c r="L141" s="148"/>
      <c r="M141" s="148"/>
      <c r="N141" s="148"/>
      <c r="O141" s="148"/>
      <c r="P141" s="149"/>
    </row>
    <row r="142" spans="1:16" x14ac:dyDescent="0.35">
      <c r="A142" s="147"/>
      <c r="B142" s="148"/>
      <c r="C142" s="148"/>
      <c r="D142" s="148"/>
      <c r="E142" s="148"/>
      <c r="F142" s="148"/>
      <c r="G142" s="148"/>
      <c r="H142" s="148"/>
      <c r="I142" s="148"/>
      <c r="J142" s="148"/>
      <c r="K142" s="148"/>
      <c r="L142" s="148"/>
      <c r="M142" s="148"/>
      <c r="N142" s="148"/>
      <c r="O142" s="148"/>
      <c r="P142" s="149"/>
    </row>
    <row r="143" spans="1:16" ht="65" customHeight="1" thickBot="1" x14ac:dyDescent="0.4">
      <c r="A143" s="150"/>
      <c r="B143" s="151"/>
      <c r="C143" s="151"/>
      <c r="D143" s="151"/>
      <c r="E143" s="151"/>
      <c r="F143" s="151"/>
      <c r="G143" s="151"/>
      <c r="H143" s="151"/>
      <c r="I143" s="151"/>
      <c r="J143" s="151"/>
      <c r="K143" s="151"/>
      <c r="L143" s="151"/>
      <c r="M143" s="151"/>
      <c r="N143" s="151"/>
      <c r="O143" s="151"/>
      <c r="P143" s="152"/>
    </row>
    <row r="145" spans="1:16" x14ac:dyDescent="0.35">
      <c r="A145" s="148" t="s">
        <v>44</v>
      </c>
      <c r="B145" s="148"/>
      <c r="C145" s="148"/>
      <c r="D145" s="148"/>
      <c r="E145" s="148"/>
      <c r="F145" s="148"/>
      <c r="G145" s="148"/>
      <c r="H145" s="148"/>
      <c r="I145" s="148"/>
      <c r="J145" s="148"/>
      <c r="K145" s="148"/>
      <c r="L145" s="148"/>
      <c r="M145" s="148"/>
      <c r="N145" s="148"/>
      <c r="O145" s="148"/>
      <c r="P145" s="148"/>
    </row>
    <row r="146" spans="1:16" x14ac:dyDescent="0.35">
      <c r="A146" s="148"/>
      <c r="B146" s="148"/>
      <c r="C146" s="148"/>
      <c r="D146" s="148"/>
      <c r="E146" s="148"/>
      <c r="F146" s="148"/>
      <c r="G146" s="148"/>
      <c r="H146" s="148"/>
      <c r="I146" s="148"/>
      <c r="J146" s="148"/>
      <c r="K146" s="148"/>
      <c r="L146" s="148"/>
      <c r="M146" s="148"/>
      <c r="N146" s="148"/>
      <c r="O146" s="148"/>
      <c r="P146" s="148"/>
    </row>
    <row r="147" spans="1:16" ht="33.65" customHeight="1" x14ac:dyDescent="0.35">
      <c r="A147" s="148"/>
      <c r="B147" s="148"/>
      <c r="C147" s="148"/>
      <c r="D147" s="148"/>
      <c r="E147" s="148"/>
      <c r="F147" s="148"/>
      <c r="G147" s="148"/>
      <c r="H147" s="148"/>
      <c r="I147" s="148"/>
      <c r="J147" s="148"/>
      <c r="K147" s="148"/>
      <c r="L147" s="148"/>
      <c r="M147" s="148"/>
      <c r="N147" s="148"/>
      <c r="O147" s="148"/>
      <c r="P147" s="148"/>
    </row>
    <row r="148" spans="1:16" x14ac:dyDescent="0.35">
      <c r="A148" s="148" t="s">
        <v>45</v>
      </c>
      <c r="B148" s="148"/>
      <c r="C148" s="148"/>
      <c r="D148" s="148"/>
      <c r="E148" s="148"/>
      <c r="F148" s="148"/>
      <c r="G148" s="148"/>
      <c r="H148" s="148"/>
      <c r="I148" s="148"/>
      <c r="J148" s="148"/>
      <c r="K148" s="148"/>
      <c r="L148" s="148"/>
      <c r="M148" s="148"/>
      <c r="N148" s="148"/>
      <c r="O148" s="148"/>
      <c r="P148" s="148"/>
    </row>
    <row r="149" spans="1:16" x14ac:dyDescent="0.35">
      <c r="A149" s="148"/>
      <c r="B149" s="148"/>
      <c r="C149" s="148"/>
      <c r="D149" s="148"/>
      <c r="E149" s="148"/>
      <c r="F149" s="148"/>
      <c r="G149" s="148"/>
      <c r="H149" s="148"/>
      <c r="I149" s="148"/>
      <c r="J149" s="148"/>
      <c r="K149" s="148"/>
      <c r="L149" s="148"/>
      <c r="M149" s="148"/>
      <c r="N149" s="148"/>
      <c r="O149" s="148"/>
      <c r="P149" s="148"/>
    </row>
    <row r="150" spans="1:16" ht="33" customHeight="1" x14ac:dyDescent="0.35">
      <c r="A150" s="148"/>
      <c r="B150" s="148"/>
      <c r="C150" s="148"/>
      <c r="D150" s="148"/>
      <c r="E150" s="148"/>
      <c r="F150" s="148"/>
      <c r="G150" s="148"/>
      <c r="H150" s="148"/>
      <c r="I150" s="148"/>
      <c r="J150" s="148"/>
      <c r="K150" s="148"/>
      <c r="L150" s="148"/>
      <c r="M150" s="148"/>
      <c r="N150" s="148"/>
      <c r="O150" s="148"/>
      <c r="P150" s="148"/>
    </row>
    <row r="151" spans="1:16" x14ac:dyDescent="0.35">
      <c r="A151" s="148" t="s">
        <v>46</v>
      </c>
      <c r="B151" s="148"/>
      <c r="C151" s="148"/>
      <c r="D151" s="148"/>
      <c r="E151" s="148"/>
      <c r="F151" s="148"/>
      <c r="G151" s="148"/>
      <c r="H151" s="148"/>
      <c r="I151" s="148"/>
      <c r="J151" s="148"/>
      <c r="K151" s="148"/>
      <c r="L151" s="148"/>
      <c r="M151" s="148"/>
      <c r="N151" s="148"/>
      <c r="O151" s="148"/>
      <c r="P151" s="148"/>
    </row>
    <row r="152" spans="1:16" x14ac:dyDescent="0.35">
      <c r="A152" s="148"/>
      <c r="B152" s="148"/>
      <c r="C152" s="148"/>
      <c r="D152" s="148"/>
      <c r="E152" s="148"/>
      <c r="F152" s="148"/>
      <c r="G152" s="148"/>
      <c r="H152" s="148"/>
      <c r="I152" s="148"/>
      <c r="J152" s="148"/>
      <c r="K152" s="148"/>
      <c r="L152" s="148"/>
      <c r="M152" s="148"/>
      <c r="N152" s="148"/>
      <c r="O152" s="148"/>
      <c r="P152" s="148"/>
    </row>
    <row r="153" spans="1:16" x14ac:dyDescent="0.35">
      <c r="A153" s="148"/>
      <c r="B153" s="148"/>
      <c r="C153" s="148"/>
      <c r="D153" s="148"/>
      <c r="E153" s="148"/>
      <c r="F153" s="148"/>
      <c r="G153" s="148"/>
      <c r="H153" s="148"/>
      <c r="I153" s="148"/>
      <c r="J153" s="148"/>
      <c r="K153" s="148"/>
      <c r="L153" s="148"/>
      <c r="M153" s="148"/>
      <c r="N153" s="148"/>
      <c r="O153" s="148"/>
      <c r="P153" s="148"/>
    </row>
    <row r="154" spans="1:16" ht="51.5" customHeight="1" x14ac:dyDescent="0.35">
      <c r="A154" s="148"/>
      <c r="B154" s="148"/>
      <c r="C154" s="148"/>
      <c r="D154" s="148"/>
      <c r="E154" s="148"/>
      <c r="F154" s="148"/>
      <c r="G154" s="148"/>
      <c r="H154" s="148"/>
      <c r="I154" s="148"/>
      <c r="J154" s="148"/>
      <c r="K154" s="148"/>
      <c r="L154" s="148"/>
      <c r="M154" s="148"/>
      <c r="N154" s="148"/>
      <c r="O154" s="148"/>
      <c r="P154" s="148"/>
    </row>
    <row r="155" spans="1:16" x14ac:dyDescent="0.35">
      <c r="A155" s="153" t="s">
        <v>47</v>
      </c>
      <c r="B155" s="153"/>
      <c r="C155" s="153"/>
      <c r="D155" s="153"/>
      <c r="E155" s="153"/>
      <c r="F155" s="153"/>
      <c r="G155" s="153"/>
      <c r="H155" s="153"/>
      <c r="I155" s="153"/>
      <c r="J155" s="153"/>
      <c r="K155" s="153"/>
      <c r="L155" s="153"/>
      <c r="M155" s="153"/>
      <c r="N155" s="153"/>
      <c r="O155" s="153"/>
      <c r="P155" s="153"/>
    </row>
    <row r="156" spans="1:16" ht="24" customHeight="1" thickBot="1" x14ac:dyDescent="0.45">
      <c r="A156" s="144"/>
      <c r="B156" s="144"/>
      <c r="C156" s="144"/>
      <c r="D156" s="144"/>
      <c r="E156" s="144"/>
      <c r="F156" s="144"/>
      <c r="I156" s="144"/>
      <c r="J156" s="144"/>
      <c r="K156" s="144"/>
      <c r="L156" s="144"/>
      <c r="M156" s="144"/>
      <c r="N156" s="144"/>
      <c r="O156" s="144"/>
      <c r="P156" s="113" t="b">
        <v>0</v>
      </c>
    </row>
    <row r="157" spans="1:16" x14ac:dyDescent="0.35">
      <c r="A157" s="154" t="s">
        <v>48</v>
      </c>
      <c r="B157" s="154"/>
      <c r="C157" s="154"/>
      <c r="D157" s="154"/>
      <c r="E157" s="154"/>
      <c r="F157" s="154"/>
      <c r="G157" s="103"/>
      <c r="H157" s="103"/>
      <c r="I157" s="154" t="s">
        <v>49</v>
      </c>
      <c r="J157" s="154"/>
      <c r="K157" s="154"/>
      <c r="L157" s="154"/>
      <c r="M157" s="154"/>
      <c r="N157" s="154"/>
      <c r="O157" s="154"/>
    </row>
    <row r="158" spans="1:16" ht="24.65" customHeight="1" thickBot="1" x14ac:dyDescent="0.45">
      <c r="A158" s="144"/>
      <c r="B158" s="144"/>
      <c r="C158" s="144"/>
      <c r="D158" s="144"/>
      <c r="E158" s="144"/>
      <c r="F158" s="144"/>
      <c r="G158" s="145" t="b">
        <v>0</v>
      </c>
      <c r="H158" s="145"/>
      <c r="I158" s="144"/>
      <c r="J158" s="144"/>
      <c r="K158" s="144"/>
      <c r="L158" s="144"/>
      <c r="M158" s="144"/>
      <c r="N158" s="144"/>
      <c r="O158" s="144"/>
      <c r="P158" s="113" t="b">
        <v>0</v>
      </c>
    </row>
    <row r="159" spans="1:16" ht="37" customHeight="1" x14ac:dyDescent="0.35">
      <c r="A159" s="142" t="str">
        <f>_xlfn.CONCAT("Church Council Chair - ",IF(AND(C7&gt;0,C7&lt;&gt;"Church Name - Dropdown"),C7,"CHURCH A"))</f>
        <v>Church Council Chair - CHURCH A</v>
      </c>
      <c r="B159" s="142"/>
      <c r="C159" s="142"/>
      <c r="D159" s="142"/>
      <c r="E159" s="142"/>
      <c r="F159" s="142"/>
      <c r="G159" s="103"/>
      <c r="H159" s="103"/>
      <c r="I159" s="142" t="str">
        <f>_xlfn.CONCAT("Secretary of Church Conference - ",IF(AND(C7&gt;0,C7&lt;&gt;"Church Name - Dropdown"),C7,"CHURCH A"))</f>
        <v>Secretary of Church Conference - CHURCH A</v>
      </c>
      <c r="J159" s="142"/>
      <c r="K159" s="142"/>
      <c r="L159" s="142"/>
      <c r="M159" s="142"/>
      <c r="N159" s="142"/>
      <c r="O159" s="142"/>
    </row>
    <row r="160" spans="1:16" ht="24" customHeight="1" thickBot="1" x14ac:dyDescent="0.45">
      <c r="A160" s="144"/>
      <c r="B160" s="144"/>
      <c r="C160" s="144"/>
      <c r="D160" s="144"/>
      <c r="E160" s="144"/>
      <c r="F160" s="144"/>
      <c r="G160" s="145" t="b">
        <v>0</v>
      </c>
      <c r="H160" s="145"/>
      <c r="I160" s="144"/>
      <c r="J160" s="144"/>
      <c r="K160" s="144"/>
      <c r="L160" s="144"/>
      <c r="M160" s="144"/>
      <c r="N160" s="144"/>
      <c r="O160" s="144"/>
      <c r="P160" s="113" t="b">
        <v>0</v>
      </c>
    </row>
    <row r="161" spans="1:16" ht="35" customHeight="1" x14ac:dyDescent="0.35">
      <c r="A161" s="142" t="str">
        <f>_xlfn.CONCAT("Church Council Chair - ",IF(AND(F7&gt;0,F7&lt;&gt;"Church Name - Dropdown"),F7,"CHURCH B"))</f>
        <v>Church Council Chair - CHURCH B</v>
      </c>
      <c r="B161" s="142"/>
      <c r="C161" s="142"/>
      <c r="D161" s="142"/>
      <c r="E161" s="142"/>
      <c r="F161" s="142"/>
      <c r="G161" s="103"/>
      <c r="H161" s="103"/>
      <c r="I161" s="142" t="str">
        <f>_xlfn.CONCAT("Secretary of Church Conference - ",IF(AND(F7&gt;0,F7&lt;&gt;"Church Name - Dropdown"),F7,"CHURCH B"))</f>
        <v>Secretary of Church Conference - CHURCH B</v>
      </c>
      <c r="J161" s="142"/>
      <c r="K161" s="142"/>
      <c r="L161" s="142"/>
      <c r="M161" s="142"/>
      <c r="N161" s="142"/>
      <c r="O161" s="142"/>
    </row>
    <row r="162" spans="1:16" ht="24.65" customHeight="1" thickBot="1" x14ac:dyDescent="0.45">
      <c r="A162" s="144"/>
      <c r="B162" s="144"/>
      <c r="C162" s="144"/>
      <c r="D162" s="144"/>
      <c r="E162" s="144"/>
      <c r="F162" s="144"/>
      <c r="G162" s="145" t="b">
        <v>0</v>
      </c>
      <c r="H162" s="145"/>
      <c r="I162" s="144"/>
      <c r="J162" s="144"/>
      <c r="K162" s="144"/>
      <c r="L162" s="144"/>
      <c r="M162" s="144"/>
      <c r="N162" s="144"/>
      <c r="O162" s="144"/>
      <c r="P162" s="113" t="b">
        <v>0</v>
      </c>
    </row>
    <row r="163" spans="1:16" ht="36.5" customHeight="1" x14ac:dyDescent="0.35">
      <c r="A163" s="142" t="str">
        <f>_xlfn.CONCAT("Church Council Chair - ",IF(AND(J7&gt;0,J7&lt;&gt;"Church Name - Dropdown"),J7,"CHURCH C"))</f>
        <v>Church Council Chair - CHURCH C</v>
      </c>
      <c r="B163" s="142"/>
      <c r="C163" s="142"/>
      <c r="D163" s="142"/>
      <c r="E163" s="142"/>
      <c r="F163" s="142"/>
      <c r="G163" s="103"/>
      <c r="H163" s="103"/>
      <c r="I163" s="142" t="str">
        <f>_xlfn.CONCAT("Secretary of Church Conference - ",IF(AND(J7&gt;0,J7&lt;&gt;"Church Name - Dropdown"),J7,"CHURCH C"))</f>
        <v>Secretary of Church Conference - CHURCH C</v>
      </c>
      <c r="J163" s="142"/>
      <c r="K163" s="142"/>
      <c r="L163" s="142"/>
      <c r="M163" s="142"/>
      <c r="N163" s="142"/>
      <c r="O163" s="142"/>
    </row>
    <row r="164" spans="1:16" ht="24.65" customHeight="1" thickBot="1" x14ac:dyDescent="0.4">
      <c r="A164" s="146"/>
      <c r="B164" s="146"/>
      <c r="C164" s="146"/>
      <c r="D164" s="146"/>
      <c r="E164" s="146"/>
      <c r="F164" s="146"/>
      <c r="G164" s="113" t="b">
        <v>0</v>
      </c>
      <c r="I164" s="146"/>
      <c r="J164" s="146"/>
      <c r="K164" s="146"/>
      <c r="L164" s="146"/>
      <c r="M164" s="146"/>
      <c r="N164" s="146"/>
      <c r="O164" s="146"/>
      <c r="P164" s="113" t="b">
        <v>0</v>
      </c>
    </row>
    <row r="165" spans="1:16" ht="39.5" customHeight="1" x14ac:dyDescent="0.35">
      <c r="A165" s="142" t="str">
        <f>_xlfn.CONCAT("Church Council Chair - ",IF(AND(M7&gt;0,M7&lt;&gt;"Church Name - Dropdown"),M7,"CHURCH D"))</f>
        <v>Church Council Chair - CHURCH D</v>
      </c>
      <c r="B165" s="142"/>
      <c r="C165" s="142"/>
      <c r="D165" s="142"/>
      <c r="E165" s="142"/>
      <c r="F165" s="142"/>
      <c r="I165" s="142" t="str">
        <f>_xlfn.CONCAT("Secretary of Church Conference - ",IF(AND(M7&gt;0,M7&lt;&gt;"Church Name - Dropdown"),M7,"CHURCH D"))</f>
        <v>Secretary of Church Conference - CHURCH D</v>
      </c>
      <c r="J165" s="142"/>
      <c r="K165" s="142"/>
      <c r="L165" s="142"/>
      <c r="M165" s="142"/>
      <c r="N165" s="142"/>
      <c r="O165" s="142"/>
    </row>
    <row r="166" spans="1:16" ht="24.65" customHeight="1" thickBot="1" x14ac:dyDescent="0.4">
      <c r="A166" s="146"/>
      <c r="B166" s="146"/>
      <c r="C166" s="146"/>
      <c r="D166" s="146"/>
      <c r="E166" s="146"/>
      <c r="F166" s="146"/>
      <c r="G166" s="113" t="b">
        <v>0</v>
      </c>
      <c r="I166" s="146"/>
      <c r="J166" s="146"/>
      <c r="K166" s="146"/>
      <c r="L166" s="146"/>
      <c r="M166" s="146"/>
      <c r="N166" s="146"/>
      <c r="O166" s="146"/>
      <c r="P166" s="113" t="b">
        <v>0</v>
      </c>
    </row>
    <row r="167" spans="1:16" ht="40" customHeight="1" x14ac:dyDescent="0.35">
      <c r="A167" s="142" t="str">
        <f>_xlfn.CONCAT("Church Council Chair - ",IF(AND(O7&gt;0,O7&lt;&gt;"Church Name - Dropdown"),O7,"CHURCH E"))</f>
        <v>Church Council Chair - CHURCH E</v>
      </c>
      <c r="B167" s="142"/>
      <c r="C167" s="142"/>
      <c r="D167" s="142"/>
      <c r="E167" s="142"/>
      <c r="F167" s="142"/>
      <c r="I167" s="142" t="str">
        <f>_xlfn.CONCAT("Secretary of Church Conference - ",IF(AND(O7&gt;0,O7&lt;&gt;"Church Name - Dropdown"),O7,"CHURCH E"))</f>
        <v>Secretary of Church Conference - CHURCH E</v>
      </c>
      <c r="J167" s="142"/>
      <c r="K167" s="142"/>
      <c r="L167" s="142"/>
      <c r="M167" s="142"/>
      <c r="N167" s="142"/>
      <c r="O167" s="142"/>
    </row>
    <row r="168" spans="1:16" x14ac:dyDescent="0.35">
      <c r="A168" s="143"/>
      <c r="B168" s="143"/>
      <c r="C168" s="143"/>
      <c r="D168" s="143"/>
      <c r="E168" s="143"/>
      <c r="F168" s="143"/>
      <c r="I168" s="143"/>
      <c r="J168" s="143"/>
      <c r="K168" s="143"/>
      <c r="L168" s="143"/>
      <c r="M168" s="143"/>
      <c r="N168" s="143"/>
      <c r="O168" s="143"/>
    </row>
  </sheetData>
  <sheetProtection algorithmName="SHA-512" hashValue="MBynD8uhY7GwDYORpFgnGfSxnf+0xV3ktgR+mHhUQI3A8zfGtBm3KZtNXtm1gBB8VdX1cG/dCzKoC886l8aP4w==" saltValue="GHSKqbakeYI7j5nwWIWDPQ==" spinCount="100000" sheet="1" scenarios="1"/>
  <mergeCells count="230">
    <mergeCell ref="A84:D84"/>
    <mergeCell ref="A85:D85"/>
    <mergeCell ref="A86:D86"/>
    <mergeCell ref="A87:D87"/>
    <mergeCell ref="A88:D88"/>
    <mergeCell ref="A89:D89"/>
    <mergeCell ref="A90:D90"/>
    <mergeCell ref="A91:D91"/>
    <mergeCell ref="A92:D92"/>
    <mergeCell ref="G128:L128"/>
    <mergeCell ref="C129:F129"/>
    <mergeCell ref="C130:F130"/>
    <mergeCell ref="C131:F131"/>
    <mergeCell ref="C132:F132"/>
    <mergeCell ref="C133:F133"/>
    <mergeCell ref="I115:L115"/>
    <mergeCell ref="I116:L116"/>
    <mergeCell ref="I117:L117"/>
    <mergeCell ref="I119:L119"/>
    <mergeCell ref="I118:L118"/>
    <mergeCell ref="C115:F115"/>
    <mergeCell ref="C116:F116"/>
    <mergeCell ref="C117:F117"/>
    <mergeCell ref="C118:F118"/>
    <mergeCell ref="C119:F119"/>
    <mergeCell ref="I129:L129"/>
    <mergeCell ref="I130:L130"/>
    <mergeCell ref="I131:L131"/>
    <mergeCell ref="I132:L132"/>
    <mergeCell ref="I133:L133"/>
    <mergeCell ref="A126:P126"/>
    <mergeCell ref="A121:P122"/>
    <mergeCell ref="A136:B136"/>
    <mergeCell ref="A137:B137"/>
    <mergeCell ref="A138:B138"/>
    <mergeCell ref="A140:B140"/>
    <mergeCell ref="A139:B139"/>
    <mergeCell ref="G135:L135"/>
    <mergeCell ref="I136:L136"/>
    <mergeCell ref="I137:L137"/>
    <mergeCell ref="I138:L138"/>
    <mergeCell ref="I139:L139"/>
    <mergeCell ref="I140:L140"/>
    <mergeCell ref="C136:F136"/>
    <mergeCell ref="C137:F137"/>
    <mergeCell ref="C138:F138"/>
    <mergeCell ref="C139:F139"/>
    <mergeCell ref="C140:F140"/>
    <mergeCell ref="A5:P5"/>
    <mergeCell ref="A7:B7"/>
    <mergeCell ref="A8:B8"/>
    <mergeCell ref="A9:B9"/>
    <mergeCell ref="C9:D9"/>
    <mergeCell ref="J9:K9"/>
    <mergeCell ref="O9:P9"/>
    <mergeCell ref="A70:I70"/>
    <mergeCell ref="A71:I71"/>
    <mergeCell ref="B15:I15"/>
    <mergeCell ref="B14:I14"/>
    <mergeCell ref="B13:I13"/>
    <mergeCell ref="O39:P39"/>
    <mergeCell ref="O40:P40"/>
    <mergeCell ref="O41:P41"/>
    <mergeCell ref="J39:J40"/>
    <mergeCell ref="K39:K40"/>
    <mergeCell ref="L39:L40"/>
    <mergeCell ref="M39:M40"/>
    <mergeCell ref="N39:N40"/>
    <mergeCell ref="A37:I38"/>
    <mergeCell ref="J37:J38"/>
    <mergeCell ref="K37:K38"/>
    <mergeCell ref="L37:L38"/>
    <mergeCell ref="A3:E3"/>
    <mergeCell ref="F3:J3"/>
    <mergeCell ref="K3:P3"/>
    <mergeCell ref="A4:E4"/>
    <mergeCell ref="F4:J4"/>
    <mergeCell ref="K4:P4"/>
    <mergeCell ref="A1:D1"/>
    <mergeCell ref="E1:K1"/>
    <mergeCell ref="L1:P1"/>
    <mergeCell ref="A2:D2"/>
    <mergeCell ref="E2:K2"/>
    <mergeCell ref="L2:P2"/>
    <mergeCell ref="A42:P42"/>
    <mergeCell ref="M37:M38"/>
    <mergeCell ref="N37:N38"/>
    <mergeCell ref="O38:P38"/>
    <mergeCell ref="F9:H9"/>
    <mergeCell ref="C22:I22"/>
    <mergeCell ref="C23:I23"/>
    <mergeCell ref="C24:I24"/>
    <mergeCell ref="C31:I31"/>
    <mergeCell ref="A32:P32"/>
    <mergeCell ref="A33:P33"/>
    <mergeCell ref="A34:P34"/>
    <mergeCell ref="A35:P35"/>
    <mergeCell ref="C20:I20"/>
    <mergeCell ref="C21:I21"/>
    <mergeCell ref="A10:P10"/>
    <mergeCell ref="A11:I11"/>
    <mergeCell ref="B12:I12"/>
    <mergeCell ref="B16:I16"/>
    <mergeCell ref="B17:I17"/>
    <mergeCell ref="B18:I18"/>
    <mergeCell ref="B19:P19"/>
    <mergeCell ref="O37:P37"/>
    <mergeCell ref="A39:A40"/>
    <mergeCell ref="B39:I40"/>
    <mergeCell ref="B41:I41"/>
    <mergeCell ref="A36:P36"/>
    <mergeCell ref="A19:A31"/>
    <mergeCell ref="C25:I25"/>
    <mergeCell ref="B26:P26"/>
    <mergeCell ref="C27:I27"/>
    <mergeCell ref="C28:I28"/>
    <mergeCell ref="C29:I29"/>
    <mergeCell ref="C30:I30"/>
    <mergeCell ref="B49:I49"/>
    <mergeCell ref="B50:I50"/>
    <mergeCell ref="B51:I51"/>
    <mergeCell ref="B53:I53"/>
    <mergeCell ref="B54:I54"/>
    <mergeCell ref="B55:I55"/>
    <mergeCell ref="B52:I52"/>
    <mergeCell ref="A43:G43"/>
    <mergeCell ref="A44:K44"/>
    <mergeCell ref="A45:G45"/>
    <mergeCell ref="A46:J46"/>
    <mergeCell ref="A47:K47"/>
    <mergeCell ref="A48:O48"/>
    <mergeCell ref="A76:P78"/>
    <mergeCell ref="A80:E80"/>
    <mergeCell ref="F80:J80"/>
    <mergeCell ref="A66:P66"/>
    <mergeCell ref="A65:P65"/>
    <mergeCell ref="A67:I67"/>
    <mergeCell ref="A68:I68"/>
    <mergeCell ref="A69:I69"/>
    <mergeCell ref="B56:I56"/>
    <mergeCell ref="B57:I57"/>
    <mergeCell ref="A58:P58"/>
    <mergeCell ref="B59:I59"/>
    <mergeCell ref="B60:I60"/>
    <mergeCell ref="B61:I61"/>
    <mergeCell ref="B62:I62"/>
    <mergeCell ref="A63:I63"/>
    <mergeCell ref="B64:I64"/>
    <mergeCell ref="A73:P74"/>
    <mergeCell ref="L89:P89"/>
    <mergeCell ref="L90:P90"/>
    <mergeCell ref="L91:P91"/>
    <mergeCell ref="L92:P92"/>
    <mergeCell ref="L93:P93"/>
    <mergeCell ref="E85:J85"/>
    <mergeCell ref="E86:J86"/>
    <mergeCell ref="E87:J87"/>
    <mergeCell ref="E88:J88"/>
    <mergeCell ref="E89:J89"/>
    <mergeCell ref="E90:J90"/>
    <mergeCell ref="E91:J91"/>
    <mergeCell ref="E92:J92"/>
    <mergeCell ref="E93:J93"/>
    <mergeCell ref="A158:F158"/>
    <mergeCell ref="G158:H158"/>
    <mergeCell ref="I158:O158"/>
    <mergeCell ref="A159:F159"/>
    <mergeCell ref="I159:O159"/>
    <mergeCell ref="A141:P143"/>
    <mergeCell ref="A145:P147"/>
    <mergeCell ref="A148:P150"/>
    <mergeCell ref="A151:P154"/>
    <mergeCell ref="A155:P155"/>
    <mergeCell ref="A156:F156"/>
    <mergeCell ref="I156:O156"/>
    <mergeCell ref="A157:F157"/>
    <mergeCell ref="I157:O157"/>
    <mergeCell ref="A163:F163"/>
    <mergeCell ref="I163:O163"/>
    <mergeCell ref="A165:F165"/>
    <mergeCell ref="I165:O165"/>
    <mergeCell ref="A168:F168"/>
    <mergeCell ref="I168:O168"/>
    <mergeCell ref="A160:F160"/>
    <mergeCell ref="G160:H160"/>
    <mergeCell ref="I160:O160"/>
    <mergeCell ref="A161:F161"/>
    <mergeCell ref="I161:O161"/>
    <mergeCell ref="A162:F162"/>
    <mergeCell ref="G162:H162"/>
    <mergeCell ref="I162:O162"/>
    <mergeCell ref="A164:F164"/>
    <mergeCell ref="A166:F166"/>
    <mergeCell ref="A167:F167"/>
    <mergeCell ref="I164:O164"/>
    <mergeCell ref="I166:O166"/>
    <mergeCell ref="I167:O167"/>
    <mergeCell ref="G114:L114"/>
    <mergeCell ref="L84:P84"/>
    <mergeCell ref="L83:P83"/>
    <mergeCell ref="L82:P82"/>
    <mergeCell ref="E83:J83"/>
    <mergeCell ref="E84:J84"/>
    <mergeCell ref="A83:D83"/>
    <mergeCell ref="E94:J94"/>
    <mergeCell ref="A93:D93"/>
    <mergeCell ref="A94:D94"/>
    <mergeCell ref="L85:P85"/>
    <mergeCell ref="L86:P86"/>
    <mergeCell ref="L87:P87"/>
    <mergeCell ref="D82:I82"/>
    <mergeCell ref="A109:B109"/>
    <mergeCell ref="C109:J109"/>
    <mergeCell ref="A112:P112"/>
    <mergeCell ref="A95:P95"/>
    <mergeCell ref="A97:P97"/>
    <mergeCell ref="A99:P103"/>
    <mergeCell ref="A105:P106"/>
    <mergeCell ref="A108:B108"/>
    <mergeCell ref="C108:F108"/>
    <mergeCell ref="L88:P88"/>
    <mergeCell ref="A6:P6"/>
    <mergeCell ref="O7:P7"/>
    <mergeCell ref="O8:P8"/>
    <mergeCell ref="C7:D7"/>
    <mergeCell ref="C8:D8"/>
    <mergeCell ref="F7:H7"/>
    <mergeCell ref="F8:H8"/>
    <mergeCell ref="J7:K7"/>
    <mergeCell ref="J8:K8"/>
  </mergeCells>
  <conditionalFormatting sqref="C7:D8 C9 J12:J17 J20:J24 J27:J28 J39 J49 J56 J59:J61 J67:J69">
    <cfRule type="expression" dxfId="16" priority="79">
      <formula>AND($C$7&gt;0,$C$7&lt;&gt;"Church Name - Dropdown")</formula>
    </cfRule>
  </conditionalFormatting>
  <conditionalFormatting sqref="C8:D8 C9 J12:J18 J20:J25 J27:J31 J39:J41 J49:J57 J59:J62 J64 J67:J71">
    <cfRule type="expression" dxfId="15" priority="76">
      <formula>OR($C$7=0,$C$7="Church Name - Dropdown")</formula>
    </cfRule>
  </conditionalFormatting>
  <conditionalFormatting sqref="F7:H8 F9 K12:K17 K20:K24 K27:K28 K39 K49 K56 K59:K61 K67:K69">
    <cfRule type="expression" dxfId="14" priority="69">
      <formula>AND($F$7&gt;0,$F$7&lt;&gt;"Church Name - Dropdown")</formula>
    </cfRule>
  </conditionalFormatting>
  <conditionalFormatting sqref="F8:H8 F9 K12:K18 K20:K25 K27:K31 K39:K41 K49:K57 K59:K62 K67:K71 K64">
    <cfRule type="expression" dxfId="13" priority="75">
      <formula>OR($F$7=0,$F$7="Church Name - Dropdown")</formula>
    </cfRule>
  </conditionalFormatting>
  <conditionalFormatting sqref="J18 J25 J29:J31 J41 J50:J55 J57:N57 J62 J64 J70:J71">
    <cfRule type="expression" dxfId="12" priority="77">
      <formula>AND($C$7&gt;0,$C$7&lt;&gt;"Church Name - Dropdown")</formula>
    </cfRule>
  </conditionalFormatting>
  <conditionalFormatting sqref="J7:K8 J9 L12:L17 L20:L24 L27:L28 L39 L49 L56 L59:L61 L67:L69">
    <cfRule type="expression" dxfId="11" priority="68">
      <formula>AND($J$7&gt;0,$J$7&lt;&gt;"Church Name - Dropdown")</formula>
    </cfRule>
  </conditionalFormatting>
  <conditionalFormatting sqref="J8:K8 J9 L12:L18 L20:L25 L27:L31 L39:L41 L49:L57 L59:L62 L67:L71 L64">
    <cfRule type="expression" dxfId="10" priority="74">
      <formula>OR($J$7=0,$J$7="Church Name - Dropdown")</formula>
    </cfRule>
  </conditionalFormatting>
  <conditionalFormatting sqref="K18 K25 K29:K31 K41 K50:K55 K57 K62 K64 K70:K71">
    <cfRule type="expression" dxfId="9" priority="78">
      <formula>AND($F$7&gt;0,$F$7&lt;&gt;"Church Name - Dropdown")</formula>
    </cfRule>
  </conditionalFormatting>
  <conditionalFormatting sqref="L18 L25 L29:L31 L41 L50:L55 L57 L62 L64 L70:L71">
    <cfRule type="expression" dxfId="8" priority="65">
      <formula>AND($J$7&gt;0,$J$7&lt;&gt;"Church Name - Dropdown")</formula>
    </cfRule>
  </conditionalFormatting>
  <conditionalFormatting sqref="M7:M9 M12:M17 M20:M24 M27:M28 M39 M49 M56 M59:M61 M67:M69">
    <cfRule type="expression" dxfId="7" priority="67">
      <formula>AND($M$7&gt;0,$M$7&lt;&gt;"Church Name - Dropdown")</formula>
    </cfRule>
  </conditionalFormatting>
  <conditionalFormatting sqref="M8:M9 M12:M18 M20:M25 M27:M31 M39:M41 M49:M57 M59:M62 M67:M71 M64">
    <cfRule type="expression" dxfId="6" priority="73">
      <formula>OR($M$7=0,$M$7="Church Name - Dropdown")</formula>
    </cfRule>
  </conditionalFormatting>
  <conditionalFormatting sqref="M18 M25 M29:M31 M41 M50:M55 M57 M62 M64 M70:M71">
    <cfRule type="expression" dxfId="5" priority="64">
      <formula>AND($M$7&gt;0,$M$7&lt;&gt;"Church Name - Dropdown")</formula>
    </cfRule>
  </conditionalFormatting>
  <conditionalFormatting sqref="N18 N25 N29:N31 N41 N50:N55 N57 N62 N64 N70:N71">
    <cfRule type="expression" dxfId="4" priority="63">
      <formula>AND($O$7&gt;0,$O$7&lt;&gt;"Church Name - Dropdown")</formula>
    </cfRule>
  </conditionalFormatting>
  <conditionalFormatting sqref="O40:O41">
    <cfRule type="expression" dxfId="3" priority="1">
      <formula>AND($O$7&gt;0,$O$7&lt;&gt;"Church Name - Dropdown")</formula>
    </cfRule>
    <cfRule type="expression" dxfId="2" priority="2">
      <formula>OR($O$7=0,$O$7="Church Name - Dropdown")</formula>
    </cfRule>
  </conditionalFormatting>
  <conditionalFormatting sqref="O7:P8 O9 N12:N17 N20:N24 N27:N28 N39 N49 N56 N59:N61 N67:N69">
    <cfRule type="expression" dxfId="1" priority="66">
      <formula>AND($O$7&gt;0,$O$7&lt;&gt;"Church Name - Dropdown")</formula>
    </cfRule>
  </conditionalFormatting>
  <conditionalFormatting sqref="O8:P8 O9 N12:N18 N20:N25 N27:N31 N39:N41 N49:N57 N59:N62 N67:N71 N64">
    <cfRule type="expression" dxfId="0" priority="70">
      <formula>OR($O$7=0,$O$7="Church Name - Dropdown")</formula>
    </cfRule>
  </conditionalFormatting>
  <dataValidations count="1">
    <dataValidation allowBlank="1" showErrorMessage="1" sqref="B12:I12" xr:uid="{AAE8538F-8FEA-4BC4-AD38-DA7B0BF4BCDD}"/>
  </dataValidations>
  <hyperlinks>
    <hyperlink ref="A10:P10" r:id="rId1" display="It is highly recommended to review the instructions as a guide when completing this report. Click here to view these instructions." xr:uid="{8A1644FC-3982-4074-B296-9EC78802A6DE}"/>
  </hyperlinks>
  <pageMargins left="0.7" right="0.7" top="0.75" bottom="0.75" header="0.3" footer="0.3"/>
  <pageSetup scale="54" fitToHeight="0" orientation="portrait" horizontalDpi="4294967293" r:id="rId2"/>
  <rowBreaks count="4" manualBreakCount="4">
    <brk id="31" max="16383" man="1"/>
    <brk id="48" max="16383" man="1"/>
    <brk id="71" max="16383" man="1"/>
    <brk id="123" max="16383" man="1"/>
  </rowBreaks>
  <drawing r:id="rId3"/>
  <extLst>
    <ext xmlns:x14="http://schemas.microsoft.com/office/spreadsheetml/2009/9/main" uri="{CCE6A557-97BC-4b89-ADB6-D9C93CAAB3DF}">
      <x14:dataValidations xmlns:xm="http://schemas.microsoft.com/office/excel/2006/main" count="4">
        <x14:dataValidation type="list" allowBlank="1" showInputMessage="1" showErrorMessage="1" xr:uid="{F98369C8-7439-4995-9BFC-A5E68FEFFE8D}">
          <x14:formula1>
            <xm:f>'Staff Info'!$D$1:$D$7</xm:f>
          </x14:formula1>
          <xm:sqref>L2:P2</xm:sqref>
        </x14:dataValidation>
        <x14:dataValidation type="list" allowBlank="1" showInputMessage="1" showErrorMessage="1" xr:uid="{652CA4B0-C330-4728-AE9A-77E8EB2C5452}">
          <x14:formula1>
            <xm:f>'Staff Info'!$G$1:$G$5</xm:f>
          </x14:formula1>
          <xm:sqref>F4:J4 C9:D9 O9:P9 J9:K9 M9 F9</xm:sqref>
        </x14:dataValidation>
        <x14:dataValidation type="list" allowBlank="1" showInputMessage="1" showErrorMessage="1" xr:uid="{9F646C1C-CAED-415C-BDBE-0A221708B0BC}">
          <x14:formula1>
            <xm:f>'Staff Info'!$A$1:$A$44</xm:f>
          </x14:formula1>
          <xm:sqref>K4:P4</xm:sqref>
        </x14:dataValidation>
        <x14:dataValidation type="list" allowBlank="1" showInputMessage="1" showErrorMessage="1" xr:uid="{DF5C71B5-890B-4DD3-ABEC-98EF315995C3}">
          <x14:formula1>
            <xm:f>'Staff Info'!$I$1:$I$480</xm:f>
          </x14:formula1>
          <xm:sqref>C7:D7 F7:H7 J7:K7 M7 O7:P7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D86E8-9D4C-4DD1-98C8-E801CF9852D6}">
  <sheetPr codeName="Sheet3">
    <pageSetUpPr fitToPage="1"/>
  </sheetPr>
  <dimension ref="A1:H22"/>
  <sheetViews>
    <sheetView workbookViewId="0">
      <selection activeCell="A3" sqref="A3"/>
    </sheetView>
  </sheetViews>
  <sheetFormatPr defaultRowHeight="14.5" x14ac:dyDescent="0.35"/>
  <cols>
    <col min="1" max="1" width="17.81640625" customWidth="1"/>
    <col min="2" max="2" width="23.7265625" customWidth="1"/>
    <col min="3" max="3" width="22.81640625" customWidth="1"/>
    <col min="4" max="4" width="19.81640625" customWidth="1"/>
    <col min="5" max="5" width="16.54296875" customWidth="1"/>
    <col min="6" max="6" width="15.81640625" customWidth="1"/>
    <col min="7" max="7" width="16.26953125" customWidth="1"/>
    <col min="8" max="8" width="23.453125" customWidth="1"/>
  </cols>
  <sheetData>
    <row r="1" spans="1:8" x14ac:dyDescent="0.35">
      <c r="A1" s="300" t="s">
        <v>565</v>
      </c>
      <c r="B1" s="301"/>
      <c r="C1" s="301"/>
      <c r="D1" s="301"/>
      <c r="E1" s="301"/>
      <c r="F1" s="301"/>
      <c r="G1" s="301"/>
      <c r="H1" s="301"/>
    </row>
    <row r="2" spans="1:8" ht="15" thickBot="1" x14ac:dyDescent="0.4">
      <c r="A2" s="302" t="s">
        <v>573</v>
      </c>
      <c r="B2" s="302"/>
      <c r="C2" s="302"/>
      <c r="D2" s="302"/>
      <c r="E2" s="302"/>
      <c r="F2" s="302"/>
      <c r="G2" s="302"/>
      <c r="H2" s="302"/>
    </row>
    <row r="3" spans="1:8" ht="42.5" x14ac:dyDescent="0.35">
      <c r="A3" s="11" t="s">
        <v>566</v>
      </c>
      <c r="B3" s="12" t="s">
        <v>684</v>
      </c>
      <c r="C3" s="11" t="s">
        <v>685</v>
      </c>
      <c r="D3" s="11" t="s">
        <v>686</v>
      </c>
      <c r="E3" s="13" t="s">
        <v>567</v>
      </c>
      <c r="F3" s="13" t="s">
        <v>568</v>
      </c>
      <c r="G3" s="13" t="s">
        <v>569</v>
      </c>
      <c r="H3" s="14"/>
    </row>
    <row r="4" spans="1:8" ht="21.5" customHeight="1" x14ac:dyDescent="0.35">
      <c r="A4" s="15"/>
      <c r="B4" s="16">
        <v>61400</v>
      </c>
      <c r="C4" s="16">
        <v>57100</v>
      </c>
      <c r="D4" s="16">
        <v>54000</v>
      </c>
      <c r="E4" s="16">
        <f>D4*0.75</f>
        <v>40500</v>
      </c>
      <c r="F4" s="16">
        <f>D4*0.5</f>
        <v>27000</v>
      </c>
      <c r="G4" s="16">
        <f>D4*0.25</f>
        <v>13500</v>
      </c>
      <c r="H4" s="16"/>
    </row>
    <row r="5" spans="1:8" ht="22" customHeight="1" x14ac:dyDescent="0.35">
      <c r="A5" s="15">
        <v>1</v>
      </c>
      <c r="B5" s="17">
        <f t="shared" ref="B5:G5" si="0">B4+ (300*1)</f>
        <v>61700</v>
      </c>
      <c r="C5" s="17">
        <f t="shared" si="0"/>
        <v>57400</v>
      </c>
      <c r="D5" s="16">
        <f t="shared" si="0"/>
        <v>54300</v>
      </c>
      <c r="E5" s="16">
        <f t="shared" si="0"/>
        <v>40800</v>
      </c>
      <c r="F5" s="16">
        <f t="shared" si="0"/>
        <v>27300</v>
      </c>
      <c r="G5" s="16">
        <f t="shared" si="0"/>
        <v>13800</v>
      </c>
      <c r="H5" s="303" t="s">
        <v>570</v>
      </c>
    </row>
    <row r="6" spans="1:8" ht="20.5" customHeight="1" x14ac:dyDescent="0.35">
      <c r="A6" s="15">
        <v>2</v>
      </c>
      <c r="B6" s="17">
        <f t="shared" ref="B6:B19" si="1">B5+ (300*1)</f>
        <v>62000</v>
      </c>
      <c r="C6" s="17">
        <f t="shared" ref="C6:C19" si="2">C5+ (300*1)</f>
        <v>57700</v>
      </c>
      <c r="D6" s="16">
        <f t="shared" ref="D6:D19" si="3">D5+ (300*1)</f>
        <v>54600</v>
      </c>
      <c r="E6" s="16">
        <f t="shared" ref="E6:E19" si="4">E5+ (300*1)</f>
        <v>41100</v>
      </c>
      <c r="F6" s="16">
        <f t="shared" ref="F6:F19" si="5">F5+ (300*1)</f>
        <v>27600</v>
      </c>
      <c r="G6" s="16">
        <f t="shared" ref="G6:G19" si="6">G5+ (300*1)</f>
        <v>14100</v>
      </c>
      <c r="H6" s="304"/>
    </row>
    <row r="7" spans="1:8" ht="22" customHeight="1" x14ac:dyDescent="0.35">
      <c r="A7" s="15">
        <v>3</v>
      </c>
      <c r="B7" s="17">
        <f t="shared" si="1"/>
        <v>62300</v>
      </c>
      <c r="C7" s="17">
        <f t="shared" si="2"/>
        <v>58000</v>
      </c>
      <c r="D7" s="16">
        <f t="shared" si="3"/>
        <v>54900</v>
      </c>
      <c r="E7" s="16">
        <f t="shared" si="4"/>
        <v>41400</v>
      </c>
      <c r="F7" s="16">
        <f t="shared" si="5"/>
        <v>27900</v>
      </c>
      <c r="G7" s="16">
        <f t="shared" si="6"/>
        <v>14400</v>
      </c>
      <c r="H7" s="305"/>
    </row>
    <row r="8" spans="1:8" ht="19" customHeight="1" x14ac:dyDescent="0.35">
      <c r="A8" s="15">
        <v>4</v>
      </c>
      <c r="B8" s="17">
        <f t="shared" si="1"/>
        <v>62600</v>
      </c>
      <c r="C8" s="17">
        <f t="shared" si="2"/>
        <v>58300</v>
      </c>
      <c r="D8" s="16">
        <f t="shared" si="3"/>
        <v>55200</v>
      </c>
      <c r="E8" s="16">
        <f t="shared" si="4"/>
        <v>41700</v>
      </c>
      <c r="F8" s="16">
        <f t="shared" si="5"/>
        <v>28200</v>
      </c>
      <c r="G8" s="16">
        <f t="shared" si="6"/>
        <v>14700</v>
      </c>
      <c r="H8" s="306" t="s">
        <v>687</v>
      </c>
    </row>
    <row r="9" spans="1:8" ht="18.5" customHeight="1" x14ac:dyDescent="0.35">
      <c r="A9" s="15">
        <v>5</v>
      </c>
      <c r="B9" s="17">
        <f t="shared" si="1"/>
        <v>62900</v>
      </c>
      <c r="C9" s="17">
        <f t="shared" si="2"/>
        <v>58600</v>
      </c>
      <c r="D9" s="16">
        <f t="shared" si="3"/>
        <v>55500</v>
      </c>
      <c r="E9" s="16">
        <f t="shared" si="4"/>
        <v>42000</v>
      </c>
      <c r="F9" s="16">
        <f t="shared" si="5"/>
        <v>28500</v>
      </c>
      <c r="G9" s="16">
        <f t="shared" si="6"/>
        <v>15000</v>
      </c>
      <c r="H9" s="307"/>
    </row>
    <row r="10" spans="1:8" ht="17.5" customHeight="1" x14ac:dyDescent="0.35">
      <c r="A10" s="15">
        <v>6</v>
      </c>
      <c r="B10" s="17">
        <f t="shared" si="1"/>
        <v>63200</v>
      </c>
      <c r="C10" s="17">
        <f t="shared" si="2"/>
        <v>58900</v>
      </c>
      <c r="D10" s="16">
        <f t="shared" si="3"/>
        <v>55800</v>
      </c>
      <c r="E10" s="16">
        <f t="shared" si="4"/>
        <v>42300</v>
      </c>
      <c r="F10" s="16">
        <f t="shared" si="5"/>
        <v>28800</v>
      </c>
      <c r="G10" s="16">
        <f t="shared" si="6"/>
        <v>15300</v>
      </c>
      <c r="H10" s="307"/>
    </row>
    <row r="11" spans="1:8" ht="21.5" customHeight="1" x14ac:dyDescent="0.35">
      <c r="A11" s="15">
        <v>7</v>
      </c>
      <c r="B11" s="17">
        <f t="shared" si="1"/>
        <v>63500</v>
      </c>
      <c r="C11" s="17">
        <f t="shared" si="2"/>
        <v>59200</v>
      </c>
      <c r="D11" s="16">
        <f t="shared" si="3"/>
        <v>56100</v>
      </c>
      <c r="E11" s="16">
        <f t="shared" si="4"/>
        <v>42600</v>
      </c>
      <c r="F11" s="16">
        <f t="shared" si="5"/>
        <v>29100</v>
      </c>
      <c r="G11" s="16">
        <f t="shared" si="6"/>
        <v>15600</v>
      </c>
      <c r="H11" s="307"/>
    </row>
    <row r="12" spans="1:8" ht="21.5" customHeight="1" x14ac:dyDescent="0.35">
      <c r="A12" s="15">
        <v>8</v>
      </c>
      <c r="B12" s="17">
        <f t="shared" si="1"/>
        <v>63800</v>
      </c>
      <c r="C12" s="17">
        <f t="shared" si="2"/>
        <v>59500</v>
      </c>
      <c r="D12" s="16">
        <f t="shared" si="3"/>
        <v>56400</v>
      </c>
      <c r="E12" s="16">
        <f t="shared" si="4"/>
        <v>42900</v>
      </c>
      <c r="F12" s="16">
        <f t="shared" si="5"/>
        <v>29400</v>
      </c>
      <c r="G12" s="16">
        <f t="shared" si="6"/>
        <v>15900</v>
      </c>
      <c r="H12" s="307"/>
    </row>
    <row r="13" spans="1:8" ht="21.5" customHeight="1" x14ac:dyDescent="0.35">
      <c r="A13" s="15">
        <v>9</v>
      </c>
      <c r="B13" s="17">
        <f t="shared" si="1"/>
        <v>64100</v>
      </c>
      <c r="C13" s="17">
        <f t="shared" si="2"/>
        <v>59800</v>
      </c>
      <c r="D13" s="16">
        <f t="shared" si="3"/>
        <v>56700</v>
      </c>
      <c r="E13" s="16">
        <f t="shared" si="4"/>
        <v>43200</v>
      </c>
      <c r="F13" s="16">
        <f t="shared" si="5"/>
        <v>29700</v>
      </c>
      <c r="G13" s="16">
        <f t="shared" si="6"/>
        <v>16200</v>
      </c>
      <c r="H13" s="304" t="s">
        <v>688</v>
      </c>
    </row>
    <row r="14" spans="1:8" ht="20" customHeight="1" x14ac:dyDescent="0.35">
      <c r="A14" s="15">
        <v>10</v>
      </c>
      <c r="B14" s="17">
        <f t="shared" si="1"/>
        <v>64400</v>
      </c>
      <c r="C14" s="17">
        <f t="shared" si="2"/>
        <v>60100</v>
      </c>
      <c r="D14" s="16">
        <f t="shared" si="3"/>
        <v>57000</v>
      </c>
      <c r="E14" s="16">
        <f t="shared" si="4"/>
        <v>43500</v>
      </c>
      <c r="F14" s="16">
        <f t="shared" si="5"/>
        <v>30000</v>
      </c>
      <c r="G14" s="16">
        <f t="shared" si="6"/>
        <v>16500</v>
      </c>
      <c r="H14" s="304"/>
    </row>
    <row r="15" spans="1:8" ht="19" customHeight="1" x14ac:dyDescent="0.35">
      <c r="A15" s="15">
        <v>11</v>
      </c>
      <c r="B15" s="17">
        <f t="shared" si="1"/>
        <v>64700</v>
      </c>
      <c r="C15" s="17">
        <f t="shared" si="2"/>
        <v>60400</v>
      </c>
      <c r="D15" s="16">
        <f t="shared" si="3"/>
        <v>57300</v>
      </c>
      <c r="E15" s="16">
        <f t="shared" si="4"/>
        <v>43800</v>
      </c>
      <c r="F15" s="16">
        <f t="shared" si="5"/>
        <v>30300</v>
      </c>
      <c r="G15" s="16">
        <f t="shared" si="6"/>
        <v>16800</v>
      </c>
      <c r="H15" s="304"/>
    </row>
    <row r="16" spans="1:8" ht="20.5" customHeight="1" x14ac:dyDescent="0.35">
      <c r="A16" s="15">
        <v>12</v>
      </c>
      <c r="B16" s="17">
        <f t="shared" si="1"/>
        <v>65000</v>
      </c>
      <c r="C16" s="17">
        <f t="shared" si="2"/>
        <v>60700</v>
      </c>
      <c r="D16" s="16">
        <f t="shared" si="3"/>
        <v>57600</v>
      </c>
      <c r="E16" s="16">
        <f t="shared" si="4"/>
        <v>44100</v>
      </c>
      <c r="F16" s="16">
        <f t="shared" si="5"/>
        <v>30600</v>
      </c>
      <c r="G16" s="16">
        <f t="shared" si="6"/>
        <v>17100</v>
      </c>
      <c r="H16" s="304"/>
    </row>
    <row r="17" spans="1:8" ht="21.5" customHeight="1" x14ac:dyDescent="0.35">
      <c r="A17" s="15">
        <v>13</v>
      </c>
      <c r="B17" s="17">
        <f t="shared" si="1"/>
        <v>65300</v>
      </c>
      <c r="C17" s="17">
        <f t="shared" si="2"/>
        <v>61000</v>
      </c>
      <c r="D17" s="16">
        <f t="shared" si="3"/>
        <v>57900</v>
      </c>
      <c r="E17" s="16">
        <f t="shared" si="4"/>
        <v>44400</v>
      </c>
      <c r="F17" s="16">
        <f t="shared" si="5"/>
        <v>30900</v>
      </c>
      <c r="G17" s="16">
        <f t="shared" si="6"/>
        <v>17400</v>
      </c>
      <c r="H17" s="304"/>
    </row>
    <row r="18" spans="1:8" ht="24.5" customHeight="1" x14ac:dyDescent="0.35">
      <c r="A18" s="15">
        <v>14</v>
      </c>
      <c r="B18" s="17">
        <f t="shared" si="1"/>
        <v>65600</v>
      </c>
      <c r="C18" s="17">
        <f t="shared" si="2"/>
        <v>61300</v>
      </c>
      <c r="D18" s="16">
        <f t="shared" si="3"/>
        <v>58200</v>
      </c>
      <c r="E18" s="16">
        <f t="shared" si="4"/>
        <v>44700</v>
      </c>
      <c r="F18" s="16">
        <f t="shared" si="5"/>
        <v>31200</v>
      </c>
      <c r="G18" s="16">
        <f t="shared" si="6"/>
        <v>17700</v>
      </c>
      <c r="H18" s="305"/>
    </row>
    <row r="19" spans="1:8" ht="20.5" customHeight="1" x14ac:dyDescent="0.35">
      <c r="A19" s="15">
        <v>15</v>
      </c>
      <c r="B19" s="17">
        <f t="shared" si="1"/>
        <v>65900</v>
      </c>
      <c r="C19" s="17">
        <f t="shared" si="2"/>
        <v>61600</v>
      </c>
      <c r="D19" s="16">
        <f t="shared" si="3"/>
        <v>58500</v>
      </c>
      <c r="E19" s="16">
        <f t="shared" si="4"/>
        <v>45000</v>
      </c>
      <c r="F19" s="16">
        <f t="shared" si="5"/>
        <v>31500</v>
      </c>
      <c r="G19" s="16">
        <f t="shared" si="6"/>
        <v>18000</v>
      </c>
      <c r="H19" s="18" t="s">
        <v>571</v>
      </c>
    </row>
    <row r="20" spans="1:8" x14ac:dyDescent="0.35">
      <c r="A20" s="19"/>
      <c r="B20" s="19"/>
      <c r="C20" s="19"/>
      <c r="D20" s="19"/>
      <c r="E20" s="19"/>
      <c r="F20" s="19"/>
      <c r="G20" s="19"/>
      <c r="H20" s="20"/>
    </row>
    <row r="21" spans="1:8" x14ac:dyDescent="0.35">
      <c r="A21" s="19" t="s">
        <v>662</v>
      </c>
      <c r="B21" s="19"/>
      <c r="C21" s="19"/>
      <c r="D21" s="19"/>
      <c r="E21" s="19"/>
      <c r="F21" s="19"/>
      <c r="G21" s="19"/>
      <c r="H21" s="20"/>
    </row>
    <row r="22" spans="1:8" x14ac:dyDescent="0.35">
      <c r="A22" s="19" t="s">
        <v>572</v>
      </c>
      <c r="B22" s="19"/>
      <c r="C22" s="19"/>
      <c r="D22" s="19"/>
      <c r="E22" s="19"/>
      <c r="F22" s="19"/>
      <c r="G22" s="19"/>
      <c r="H22" s="20"/>
    </row>
  </sheetData>
  <sheetProtection algorithmName="SHA-512" hashValue="pZq/351qHVImEVvQkIm8P7CxmR25sU+IB3KeWX9sXpBu6YF9+VCc62dO+tKbWngwQBG8ctAOtbqV6vvKyD5MCQ==" saltValue="p1hTN3I8GgCXQGwBXpFwdA==" spinCount="100000" sheet="1" objects="1" scenarios="1"/>
  <mergeCells count="5">
    <mergeCell ref="H8:H12"/>
    <mergeCell ref="H13:H18"/>
    <mergeCell ref="A1:H1"/>
    <mergeCell ref="A2:H2"/>
    <mergeCell ref="H5:H7"/>
  </mergeCells>
  <hyperlinks>
    <hyperlink ref="H19" location="'Comp Form'!A1" display="Click here-return to Report" xr:uid="{A020BBA9-731A-4CC2-B541-276EB302C097}"/>
  </hyperlinks>
  <pageMargins left="0.7" right="0.7" top="0.75" bottom="0.75" header="0.3" footer="0.3"/>
  <pageSetup scale="7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41D2E-B5CF-48A9-90EE-CA0B9A1E0DA0}">
  <sheetPr codeName="Sheet4"/>
  <dimension ref="A1:J470"/>
  <sheetViews>
    <sheetView topLeftCell="A323" workbookViewId="0">
      <selection activeCell="F338" sqref="F338"/>
    </sheetView>
  </sheetViews>
  <sheetFormatPr defaultRowHeight="14.5" x14ac:dyDescent="0.35"/>
  <cols>
    <col min="1" max="1" width="53.26953125" bestFit="1" customWidth="1"/>
    <col min="4" max="4" width="21.54296875" bestFit="1" customWidth="1"/>
    <col min="7" max="7" width="21.54296875" bestFit="1" customWidth="1"/>
    <col min="9" max="9" width="23" bestFit="1" customWidth="1"/>
  </cols>
  <sheetData>
    <row r="1" spans="1:10" ht="16" x14ac:dyDescent="0.4">
      <c r="A1" s="2" t="s">
        <v>93</v>
      </c>
      <c r="D1" s="1" t="s">
        <v>93</v>
      </c>
      <c r="E1" s="2"/>
      <c r="F1" s="2"/>
      <c r="G1" s="3" t="s">
        <v>93</v>
      </c>
      <c r="I1" t="s">
        <v>95</v>
      </c>
      <c r="J1" t="s">
        <v>10</v>
      </c>
    </row>
    <row r="2" spans="1:10" ht="16" x14ac:dyDescent="0.4">
      <c r="A2" s="4" t="s">
        <v>50</v>
      </c>
      <c r="D2" t="s">
        <v>51</v>
      </c>
      <c r="E2" s="2"/>
      <c r="F2" s="2"/>
      <c r="G2" s="3" t="s">
        <v>52</v>
      </c>
      <c r="I2" t="s">
        <v>96</v>
      </c>
      <c r="J2">
        <v>4101</v>
      </c>
    </row>
    <row r="3" spans="1:10" ht="16" x14ac:dyDescent="0.4">
      <c r="A3" s="5" t="s">
        <v>623</v>
      </c>
      <c r="D3" t="s">
        <v>54</v>
      </c>
      <c r="E3" s="2"/>
      <c r="F3" s="2"/>
      <c r="G3" s="6" t="s">
        <v>55</v>
      </c>
      <c r="I3" t="s">
        <v>97</v>
      </c>
      <c r="J3">
        <v>3101</v>
      </c>
    </row>
    <row r="4" spans="1:10" ht="16.5" x14ac:dyDescent="0.45">
      <c r="A4" s="5" t="s">
        <v>53</v>
      </c>
      <c r="D4" s="7" t="s">
        <v>56</v>
      </c>
      <c r="E4" s="2"/>
      <c r="F4" s="2"/>
      <c r="G4" s="3" t="s">
        <v>57</v>
      </c>
      <c r="I4" t="s">
        <v>98</v>
      </c>
      <c r="J4">
        <v>5101</v>
      </c>
    </row>
    <row r="5" spans="1:10" ht="16" x14ac:dyDescent="0.4">
      <c r="A5" s="5" t="s">
        <v>624</v>
      </c>
      <c r="D5" t="s">
        <v>59</v>
      </c>
      <c r="E5" s="2"/>
      <c r="F5" s="2"/>
      <c r="G5" s="3" t="s">
        <v>60</v>
      </c>
      <c r="I5" t="s">
        <v>99</v>
      </c>
      <c r="J5">
        <v>4102</v>
      </c>
    </row>
    <row r="6" spans="1:10" ht="16" x14ac:dyDescent="0.4">
      <c r="A6" s="5" t="s">
        <v>625</v>
      </c>
      <c r="D6" t="s">
        <v>61</v>
      </c>
      <c r="E6" s="2"/>
      <c r="F6" s="2"/>
      <c r="G6" s="3"/>
      <c r="I6" t="s">
        <v>100</v>
      </c>
      <c r="J6">
        <v>5102</v>
      </c>
    </row>
    <row r="7" spans="1:10" ht="16" x14ac:dyDescent="0.4">
      <c r="A7" s="5" t="s">
        <v>58</v>
      </c>
      <c r="D7" t="s">
        <v>62</v>
      </c>
      <c r="E7" s="2"/>
      <c r="F7" s="2"/>
      <c r="G7" s="3"/>
      <c r="I7" t="s">
        <v>101</v>
      </c>
      <c r="J7">
        <v>5103</v>
      </c>
    </row>
    <row r="8" spans="1:10" ht="16" x14ac:dyDescent="0.4">
      <c r="A8" s="5" t="s">
        <v>626</v>
      </c>
      <c r="D8" s="1"/>
      <c r="E8" s="2"/>
      <c r="F8" s="2"/>
      <c r="G8" s="3"/>
      <c r="I8" t="s">
        <v>102</v>
      </c>
      <c r="J8">
        <v>1101</v>
      </c>
    </row>
    <row r="9" spans="1:10" ht="16" x14ac:dyDescent="0.4">
      <c r="A9" s="5" t="s">
        <v>627</v>
      </c>
      <c r="D9" s="1"/>
      <c r="E9" s="2"/>
      <c r="F9" s="2"/>
      <c r="G9" s="3"/>
      <c r="I9" t="s">
        <v>103</v>
      </c>
      <c r="J9">
        <v>1102</v>
      </c>
    </row>
    <row r="10" spans="1:10" ht="16" x14ac:dyDescent="0.4">
      <c r="A10" s="5" t="s">
        <v>628</v>
      </c>
      <c r="D10" s="1"/>
      <c r="E10" s="2"/>
      <c r="F10" s="2"/>
      <c r="G10" s="3"/>
      <c r="I10" t="s">
        <v>104</v>
      </c>
      <c r="J10">
        <v>1103</v>
      </c>
    </row>
    <row r="11" spans="1:10" ht="16" x14ac:dyDescent="0.35">
      <c r="A11" s="5" t="s">
        <v>629</v>
      </c>
      <c r="G11" s="8"/>
      <c r="I11" t="s">
        <v>105</v>
      </c>
      <c r="J11">
        <v>2101</v>
      </c>
    </row>
    <row r="12" spans="1:10" ht="16" x14ac:dyDescent="0.35">
      <c r="A12" s="5" t="s">
        <v>630</v>
      </c>
      <c r="G12" s="8"/>
      <c r="I12" t="s">
        <v>106</v>
      </c>
      <c r="J12">
        <v>2102</v>
      </c>
    </row>
    <row r="13" spans="1:10" ht="16" x14ac:dyDescent="0.35">
      <c r="A13" s="5" t="s">
        <v>631</v>
      </c>
      <c r="G13" s="8"/>
      <c r="I13" t="s">
        <v>107</v>
      </c>
      <c r="J13">
        <v>1104</v>
      </c>
    </row>
    <row r="14" spans="1:10" ht="16" x14ac:dyDescent="0.35">
      <c r="A14" s="5" t="s">
        <v>632</v>
      </c>
      <c r="G14" s="8"/>
      <c r="I14" t="s">
        <v>108</v>
      </c>
      <c r="J14">
        <v>6101</v>
      </c>
    </row>
    <row r="15" spans="1:10" ht="16" x14ac:dyDescent="0.35">
      <c r="A15" s="5" t="s">
        <v>633</v>
      </c>
      <c r="G15" s="8"/>
      <c r="I15" t="s">
        <v>109</v>
      </c>
      <c r="J15">
        <v>5104</v>
      </c>
    </row>
    <row r="16" spans="1:10" ht="16.5" x14ac:dyDescent="0.45">
      <c r="A16" s="5" t="s">
        <v>68</v>
      </c>
      <c r="F16" s="7"/>
      <c r="G16" s="8"/>
      <c r="I16" t="s">
        <v>110</v>
      </c>
      <c r="J16">
        <v>4103</v>
      </c>
    </row>
    <row r="17" spans="1:10" ht="16" x14ac:dyDescent="0.35">
      <c r="A17" s="5" t="s">
        <v>634</v>
      </c>
      <c r="G17" s="8"/>
      <c r="I17" t="s">
        <v>111</v>
      </c>
      <c r="J17">
        <v>6102</v>
      </c>
    </row>
    <row r="18" spans="1:10" ht="16" x14ac:dyDescent="0.35">
      <c r="A18" s="5" t="s">
        <v>635</v>
      </c>
      <c r="G18" s="8"/>
      <c r="I18" t="s">
        <v>112</v>
      </c>
      <c r="J18">
        <v>6103</v>
      </c>
    </row>
    <row r="19" spans="1:10" ht="16" x14ac:dyDescent="0.35">
      <c r="A19" s="5" t="s">
        <v>636</v>
      </c>
      <c r="G19" s="8"/>
      <c r="I19" t="s">
        <v>113</v>
      </c>
      <c r="J19">
        <v>5105</v>
      </c>
    </row>
    <row r="20" spans="1:10" ht="16" x14ac:dyDescent="0.35">
      <c r="A20" s="5" t="s">
        <v>637</v>
      </c>
      <c r="G20" s="8"/>
      <c r="I20" t="s">
        <v>114</v>
      </c>
      <c r="J20">
        <v>5106</v>
      </c>
    </row>
    <row r="21" spans="1:10" ht="16" x14ac:dyDescent="0.35">
      <c r="A21" s="5" t="s">
        <v>638</v>
      </c>
      <c r="D21" s="9"/>
      <c r="G21" s="8"/>
      <c r="I21" t="s">
        <v>115</v>
      </c>
      <c r="J21">
        <v>6104</v>
      </c>
    </row>
    <row r="22" spans="1:10" ht="16" x14ac:dyDescent="0.35">
      <c r="A22" s="5" t="s">
        <v>639</v>
      </c>
      <c r="G22" s="8"/>
      <c r="I22" t="s">
        <v>116</v>
      </c>
      <c r="J22">
        <v>5107</v>
      </c>
    </row>
    <row r="23" spans="1:10" ht="16" x14ac:dyDescent="0.35">
      <c r="A23" s="5" t="s">
        <v>640</v>
      </c>
      <c r="G23" s="8"/>
      <c r="I23" t="s">
        <v>117</v>
      </c>
      <c r="J23">
        <v>5108</v>
      </c>
    </row>
    <row r="24" spans="1:10" ht="16" x14ac:dyDescent="0.35">
      <c r="A24" s="5" t="s">
        <v>641</v>
      </c>
      <c r="G24" s="8"/>
      <c r="I24" t="s">
        <v>118</v>
      </c>
      <c r="J24">
        <v>3104</v>
      </c>
    </row>
    <row r="25" spans="1:10" ht="16" x14ac:dyDescent="0.35">
      <c r="A25" s="5" t="s">
        <v>642</v>
      </c>
      <c r="G25" s="8"/>
      <c r="I25" t="s">
        <v>119</v>
      </c>
      <c r="J25">
        <v>5109</v>
      </c>
    </row>
    <row r="26" spans="1:10" ht="16" x14ac:dyDescent="0.35">
      <c r="A26" s="5" t="s">
        <v>643</v>
      </c>
      <c r="G26" s="8"/>
      <c r="I26" t="s">
        <v>120</v>
      </c>
      <c r="J26">
        <v>1105</v>
      </c>
    </row>
    <row r="27" spans="1:10" x14ac:dyDescent="0.35">
      <c r="A27" t="s">
        <v>644</v>
      </c>
      <c r="I27" t="s">
        <v>619</v>
      </c>
      <c r="J27">
        <v>3103</v>
      </c>
    </row>
    <row r="28" spans="1:10" x14ac:dyDescent="0.35">
      <c r="A28" t="s">
        <v>645</v>
      </c>
      <c r="I28" t="s">
        <v>121</v>
      </c>
      <c r="J28">
        <v>3105</v>
      </c>
    </row>
    <row r="29" spans="1:10" x14ac:dyDescent="0.35">
      <c r="A29" t="s">
        <v>646</v>
      </c>
      <c r="I29" t="s">
        <v>122</v>
      </c>
      <c r="J29">
        <v>6105</v>
      </c>
    </row>
    <row r="30" spans="1:10" x14ac:dyDescent="0.35">
      <c r="A30" t="s">
        <v>647</v>
      </c>
      <c r="I30" t="s">
        <v>123</v>
      </c>
      <c r="J30">
        <v>1106</v>
      </c>
    </row>
    <row r="31" spans="1:10" x14ac:dyDescent="0.35">
      <c r="A31" t="s">
        <v>648</v>
      </c>
      <c r="I31" t="s">
        <v>124</v>
      </c>
      <c r="J31">
        <v>1107</v>
      </c>
    </row>
    <row r="32" spans="1:10" x14ac:dyDescent="0.35">
      <c r="A32" t="s">
        <v>63</v>
      </c>
      <c r="I32" t="s">
        <v>125</v>
      </c>
      <c r="J32">
        <v>3106</v>
      </c>
    </row>
    <row r="33" spans="1:10" x14ac:dyDescent="0.35">
      <c r="A33" t="s">
        <v>64</v>
      </c>
      <c r="I33" t="s">
        <v>126</v>
      </c>
      <c r="J33">
        <v>6106</v>
      </c>
    </row>
    <row r="34" spans="1:10" x14ac:dyDescent="0.35">
      <c r="A34" t="s">
        <v>649</v>
      </c>
      <c r="I34" t="s">
        <v>127</v>
      </c>
      <c r="J34">
        <v>6107</v>
      </c>
    </row>
    <row r="35" spans="1:10" x14ac:dyDescent="0.35">
      <c r="A35" t="s">
        <v>650</v>
      </c>
      <c r="I35" t="s">
        <v>128</v>
      </c>
      <c r="J35">
        <v>3107</v>
      </c>
    </row>
    <row r="36" spans="1:10" x14ac:dyDescent="0.35">
      <c r="A36" t="s">
        <v>65</v>
      </c>
      <c r="I36" t="s">
        <v>129</v>
      </c>
      <c r="J36">
        <v>5111</v>
      </c>
    </row>
    <row r="37" spans="1:10" x14ac:dyDescent="0.35">
      <c r="A37" t="s">
        <v>651</v>
      </c>
      <c r="I37" t="s">
        <v>130</v>
      </c>
      <c r="J37">
        <v>4104</v>
      </c>
    </row>
    <row r="38" spans="1:10" x14ac:dyDescent="0.35">
      <c r="A38" t="s">
        <v>652</v>
      </c>
      <c r="I38" t="s">
        <v>131</v>
      </c>
      <c r="J38">
        <v>3108</v>
      </c>
    </row>
    <row r="39" spans="1:10" x14ac:dyDescent="0.35">
      <c r="A39" t="s">
        <v>653</v>
      </c>
      <c r="I39" t="s">
        <v>132</v>
      </c>
      <c r="J39">
        <v>5112</v>
      </c>
    </row>
    <row r="40" spans="1:10" x14ac:dyDescent="0.35">
      <c r="A40" t="s">
        <v>654</v>
      </c>
      <c r="I40" t="s">
        <v>133</v>
      </c>
      <c r="J40">
        <v>1109</v>
      </c>
    </row>
    <row r="41" spans="1:10" x14ac:dyDescent="0.35">
      <c r="A41" t="s">
        <v>66</v>
      </c>
      <c r="I41" t="s">
        <v>134</v>
      </c>
      <c r="J41">
        <v>1110</v>
      </c>
    </row>
    <row r="42" spans="1:10" x14ac:dyDescent="0.35">
      <c r="A42" t="s">
        <v>67</v>
      </c>
      <c r="I42" t="s">
        <v>135</v>
      </c>
      <c r="J42" t="s">
        <v>620</v>
      </c>
    </row>
    <row r="43" spans="1:10" x14ac:dyDescent="0.35">
      <c r="A43" t="s">
        <v>655</v>
      </c>
      <c r="I43" t="s">
        <v>136</v>
      </c>
      <c r="J43">
        <v>3109</v>
      </c>
    </row>
    <row r="44" spans="1:10" x14ac:dyDescent="0.35">
      <c r="A44" t="s">
        <v>656</v>
      </c>
      <c r="I44" t="s">
        <v>137</v>
      </c>
      <c r="J44">
        <v>3110</v>
      </c>
    </row>
    <row r="45" spans="1:10" x14ac:dyDescent="0.35">
      <c r="I45" t="s">
        <v>138</v>
      </c>
      <c r="J45">
        <v>3111</v>
      </c>
    </row>
    <row r="46" spans="1:10" x14ac:dyDescent="0.35">
      <c r="I46" t="s">
        <v>139</v>
      </c>
      <c r="J46">
        <v>4105</v>
      </c>
    </row>
    <row r="47" spans="1:10" x14ac:dyDescent="0.35">
      <c r="I47" t="s">
        <v>140</v>
      </c>
      <c r="J47">
        <v>1111</v>
      </c>
    </row>
    <row r="48" spans="1:10" x14ac:dyDescent="0.35">
      <c r="I48" t="s">
        <v>141</v>
      </c>
      <c r="J48">
        <v>5113</v>
      </c>
    </row>
    <row r="49" spans="9:10" x14ac:dyDescent="0.35">
      <c r="I49" t="s">
        <v>142</v>
      </c>
      <c r="J49">
        <v>5114</v>
      </c>
    </row>
    <row r="50" spans="9:10" x14ac:dyDescent="0.35">
      <c r="I50" t="s">
        <v>143</v>
      </c>
      <c r="J50">
        <v>4106</v>
      </c>
    </row>
    <row r="51" spans="9:10" x14ac:dyDescent="0.35">
      <c r="I51" t="s">
        <v>144</v>
      </c>
      <c r="J51">
        <v>6108</v>
      </c>
    </row>
    <row r="52" spans="9:10" x14ac:dyDescent="0.35">
      <c r="I52" t="s">
        <v>145</v>
      </c>
      <c r="J52">
        <v>4107</v>
      </c>
    </row>
    <row r="53" spans="9:10" x14ac:dyDescent="0.35">
      <c r="I53" t="s">
        <v>146</v>
      </c>
      <c r="J53">
        <v>1112</v>
      </c>
    </row>
    <row r="54" spans="9:10" x14ac:dyDescent="0.35">
      <c r="I54" t="s">
        <v>147</v>
      </c>
      <c r="J54">
        <v>1113</v>
      </c>
    </row>
    <row r="55" spans="9:10" x14ac:dyDescent="0.35">
      <c r="I55" t="s">
        <v>148</v>
      </c>
      <c r="J55">
        <v>2104</v>
      </c>
    </row>
    <row r="56" spans="9:10" x14ac:dyDescent="0.35">
      <c r="I56" t="s">
        <v>149</v>
      </c>
      <c r="J56">
        <v>3112</v>
      </c>
    </row>
    <row r="57" spans="9:10" x14ac:dyDescent="0.35">
      <c r="I57" t="s">
        <v>150</v>
      </c>
      <c r="J57">
        <v>3113</v>
      </c>
    </row>
    <row r="58" spans="9:10" x14ac:dyDescent="0.35">
      <c r="I58" t="s">
        <v>151</v>
      </c>
      <c r="J58">
        <v>2105</v>
      </c>
    </row>
    <row r="59" spans="9:10" x14ac:dyDescent="0.35">
      <c r="I59" t="s">
        <v>152</v>
      </c>
      <c r="J59">
        <v>3114</v>
      </c>
    </row>
    <row r="60" spans="9:10" x14ac:dyDescent="0.35">
      <c r="I60" t="s">
        <v>153</v>
      </c>
      <c r="J60">
        <v>5115</v>
      </c>
    </row>
    <row r="61" spans="9:10" x14ac:dyDescent="0.35">
      <c r="I61" t="s">
        <v>154</v>
      </c>
      <c r="J61">
        <v>6109</v>
      </c>
    </row>
    <row r="62" spans="9:10" x14ac:dyDescent="0.35">
      <c r="I62" t="s">
        <v>155</v>
      </c>
      <c r="J62">
        <v>1114</v>
      </c>
    </row>
    <row r="63" spans="9:10" x14ac:dyDescent="0.35">
      <c r="I63" t="s">
        <v>156</v>
      </c>
      <c r="J63">
        <v>4108</v>
      </c>
    </row>
    <row r="64" spans="9:10" x14ac:dyDescent="0.35">
      <c r="I64" t="s">
        <v>157</v>
      </c>
      <c r="J64">
        <v>6110</v>
      </c>
    </row>
    <row r="65" spans="9:10" x14ac:dyDescent="0.35">
      <c r="I65" t="s">
        <v>158</v>
      </c>
      <c r="J65">
        <v>3115</v>
      </c>
    </row>
    <row r="66" spans="9:10" x14ac:dyDescent="0.35">
      <c r="I66" t="s">
        <v>159</v>
      </c>
      <c r="J66">
        <v>6111</v>
      </c>
    </row>
    <row r="67" spans="9:10" x14ac:dyDescent="0.35">
      <c r="I67" t="s">
        <v>160</v>
      </c>
      <c r="J67">
        <v>4110</v>
      </c>
    </row>
    <row r="68" spans="9:10" x14ac:dyDescent="0.35">
      <c r="I68" t="s">
        <v>161</v>
      </c>
      <c r="J68">
        <v>3116</v>
      </c>
    </row>
    <row r="69" spans="9:10" x14ac:dyDescent="0.35">
      <c r="I69" t="s">
        <v>162</v>
      </c>
      <c r="J69">
        <v>2107</v>
      </c>
    </row>
    <row r="70" spans="9:10" x14ac:dyDescent="0.35">
      <c r="I70" t="s">
        <v>163</v>
      </c>
      <c r="J70">
        <v>4111</v>
      </c>
    </row>
    <row r="71" spans="9:10" x14ac:dyDescent="0.35">
      <c r="I71" t="s">
        <v>164</v>
      </c>
      <c r="J71">
        <v>5117</v>
      </c>
    </row>
    <row r="72" spans="9:10" x14ac:dyDescent="0.35">
      <c r="I72" t="s">
        <v>165</v>
      </c>
      <c r="J72">
        <v>3117</v>
      </c>
    </row>
    <row r="73" spans="9:10" x14ac:dyDescent="0.35">
      <c r="I73" t="s">
        <v>166</v>
      </c>
      <c r="J73">
        <v>1115</v>
      </c>
    </row>
    <row r="74" spans="9:10" x14ac:dyDescent="0.35">
      <c r="I74" t="s">
        <v>167</v>
      </c>
      <c r="J74">
        <v>2108</v>
      </c>
    </row>
    <row r="75" spans="9:10" x14ac:dyDescent="0.35">
      <c r="I75" t="s">
        <v>168</v>
      </c>
      <c r="J75">
        <v>2109</v>
      </c>
    </row>
    <row r="76" spans="9:10" x14ac:dyDescent="0.35">
      <c r="I76" t="s">
        <v>169</v>
      </c>
      <c r="J76">
        <v>4112</v>
      </c>
    </row>
    <row r="77" spans="9:10" x14ac:dyDescent="0.35">
      <c r="I77" t="s">
        <v>170</v>
      </c>
      <c r="J77">
        <v>3118</v>
      </c>
    </row>
    <row r="78" spans="9:10" x14ac:dyDescent="0.35">
      <c r="I78" t="s">
        <v>171</v>
      </c>
      <c r="J78">
        <v>2110</v>
      </c>
    </row>
    <row r="79" spans="9:10" x14ac:dyDescent="0.35">
      <c r="I79" t="s">
        <v>172</v>
      </c>
      <c r="J79">
        <v>2111</v>
      </c>
    </row>
    <row r="80" spans="9:10" x14ac:dyDescent="0.35">
      <c r="I80" t="s">
        <v>173</v>
      </c>
      <c r="J80">
        <v>4113</v>
      </c>
    </row>
    <row r="81" spans="9:10" x14ac:dyDescent="0.35">
      <c r="I81" t="s">
        <v>174</v>
      </c>
      <c r="J81">
        <v>2112</v>
      </c>
    </row>
    <row r="82" spans="9:10" x14ac:dyDescent="0.35">
      <c r="I82" t="s">
        <v>175</v>
      </c>
      <c r="J82">
        <v>3119</v>
      </c>
    </row>
    <row r="83" spans="9:10" x14ac:dyDescent="0.35">
      <c r="I83" t="s">
        <v>176</v>
      </c>
      <c r="J83">
        <v>5118</v>
      </c>
    </row>
    <row r="84" spans="9:10" x14ac:dyDescent="0.35">
      <c r="I84" t="s">
        <v>177</v>
      </c>
      <c r="J84">
        <v>3120</v>
      </c>
    </row>
    <row r="85" spans="9:10" x14ac:dyDescent="0.35">
      <c r="I85" t="s">
        <v>178</v>
      </c>
      <c r="J85">
        <v>5119</v>
      </c>
    </row>
    <row r="86" spans="9:10" x14ac:dyDescent="0.35">
      <c r="I86" t="s">
        <v>179</v>
      </c>
      <c r="J86">
        <v>1116</v>
      </c>
    </row>
    <row r="87" spans="9:10" x14ac:dyDescent="0.35">
      <c r="I87" t="s">
        <v>180</v>
      </c>
      <c r="J87">
        <v>2113</v>
      </c>
    </row>
    <row r="88" spans="9:10" x14ac:dyDescent="0.35">
      <c r="I88" t="s">
        <v>181</v>
      </c>
      <c r="J88">
        <v>2114</v>
      </c>
    </row>
    <row r="89" spans="9:10" x14ac:dyDescent="0.35">
      <c r="I89" t="s">
        <v>182</v>
      </c>
      <c r="J89">
        <v>2115</v>
      </c>
    </row>
    <row r="90" spans="9:10" x14ac:dyDescent="0.35">
      <c r="I90" t="s">
        <v>183</v>
      </c>
      <c r="J90">
        <v>3121</v>
      </c>
    </row>
    <row r="91" spans="9:10" x14ac:dyDescent="0.35">
      <c r="I91" t="s">
        <v>184</v>
      </c>
      <c r="J91">
        <v>4114</v>
      </c>
    </row>
    <row r="92" spans="9:10" x14ac:dyDescent="0.35">
      <c r="I92" t="s">
        <v>185</v>
      </c>
      <c r="J92">
        <v>3122</v>
      </c>
    </row>
    <row r="93" spans="9:10" x14ac:dyDescent="0.35">
      <c r="I93" t="s">
        <v>186</v>
      </c>
      <c r="J93">
        <v>4115</v>
      </c>
    </row>
    <row r="94" spans="9:10" x14ac:dyDescent="0.35">
      <c r="I94" t="s">
        <v>187</v>
      </c>
      <c r="J94">
        <v>3123</v>
      </c>
    </row>
    <row r="95" spans="9:10" x14ac:dyDescent="0.35">
      <c r="I95" t="s">
        <v>188</v>
      </c>
      <c r="J95">
        <v>6112</v>
      </c>
    </row>
    <row r="96" spans="9:10" x14ac:dyDescent="0.35">
      <c r="I96" t="s">
        <v>189</v>
      </c>
      <c r="J96">
        <v>4116</v>
      </c>
    </row>
    <row r="97" spans="9:10" x14ac:dyDescent="0.35">
      <c r="I97" t="s">
        <v>190</v>
      </c>
      <c r="J97">
        <v>6113</v>
      </c>
    </row>
    <row r="98" spans="9:10" x14ac:dyDescent="0.35">
      <c r="I98" t="s">
        <v>191</v>
      </c>
      <c r="J98">
        <v>2117</v>
      </c>
    </row>
    <row r="99" spans="9:10" x14ac:dyDescent="0.35">
      <c r="I99" t="s">
        <v>192</v>
      </c>
      <c r="J99">
        <v>4117</v>
      </c>
    </row>
    <row r="100" spans="9:10" x14ac:dyDescent="0.35">
      <c r="I100" t="s">
        <v>193</v>
      </c>
      <c r="J100">
        <v>5121</v>
      </c>
    </row>
    <row r="101" spans="9:10" x14ac:dyDescent="0.35">
      <c r="I101" t="s">
        <v>194</v>
      </c>
      <c r="J101">
        <v>1117</v>
      </c>
    </row>
    <row r="102" spans="9:10" x14ac:dyDescent="0.35">
      <c r="I102" t="s">
        <v>195</v>
      </c>
      <c r="J102">
        <v>6114</v>
      </c>
    </row>
    <row r="103" spans="9:10" x14ac:dyDescent="0.35">
      <c r="I103" t="s">
        <v>196</v>
      </c>
      <c r="J103">
        <v>6115</v>
      </c>
    </row>
    <row r="104" spans="9:10" x14ac:dyDescent="0.35">
      <c r="I104" t="s">
        <v>197</v>
      </c>
      <c r="J104">
        <v>1118</v>
      </c>
    </row>
    <row r="105" spans="9:10" x14ac:dyDescent="0.35">
      <c r="I105" t="s">
        <v>198</v>
      </c>
      <c r="J105">
        <v>6116</v>
      </c>
    </row>
    <row r="106" spans="9:10" x14ac:dyDescent="0.35">
      <c r="I106" t="s">
        <v>199</v>
      </c>
      <c r="J106">
        <v>1119</v>
      </c>
    </row>
    <row r="107" spans="9:10" x14ac:dyDescent="0.35">
      <c r="I107" t="s">
        <v>200</v>
      </c>
      <c r="J107">
        <v>2118</v>
      </c>
    </row>
    <row r="108" spans="9:10" x14ac:dyDescent="0.35">
      <c r="I108" t="s">
        <v>201</v>
      </c>
      <c r="J108">
        <v>4118</v>
      </c>
    </row>
    <row r="109" spans="9:10" x14ac:dyDescent="0.35">
      <c r="I109" t="s">
        <v>202</v>
      </c>
      <c r="J109">
        <v>6117</v>
      </c>
    </row>
    <row r="110" spans="9:10" x14ac:dyDescent="0.35">
      <c r="I110" t="s">
        <v>203</v>
      </c>
      <c r="J110">
        <v>5122</v>
      </c>
    </row>
    <row r="111" spans="9:10" x14ac:dyDescent="0.35">
      <c r="I111" t="s">
        <v>204</v>
      </c>
      <c r="J111">
        <v>1120</v>
      </c>
    </row>
    <row r="112" spans="9:10" x14ac:dyDescent="0.35">
      <c r="I112" t="s">
        <v>205</v>
      </c>
      <c r="J112">
        <v>1121</v>
      </c>
    </row>
    <row r="113" spans="9:10" x14ac:dyDescent="0.35">
      <c r="I113" t="s">
        <v>206</v>
      </c>
      <c r="J113">
        <v>3124</v>
      </c>
    </row>
    <row r="114" spans="9:10" x14ac:dyDescent="0.35">
      <c r="I114" t="s">
        <v>207</v>
      </c>
      <c r="J114">
        <v>4119</v>
      </c>
    </row>
    <row r="115" spans="9:10" x14ac:dyDescent="0.35">
      <c r="I115" t="s">
        <v>208</v>
      </c>
      <c r="J115">
        <v>5123</v>
      </c>
    </row>
    <row r="116" spans="9:10" x14ac:dyDescent="0.35">
      <c r="I116" t="s">
        <v>621</v>
      </c>
      <c r="J116">
        <v>3125</v>
      </c>
    </row>
    <row r="117" spans="9:10" x14ac:dyDescent="0.35">
      <c r="I117" t="s">
        <v>209</v>
      </c>
      <c r="J117">
        <v>6118</v>
      </c>
    </row>
    <row r="118" spans="9:10" x14ac:dyDescent="0.35">
      <c r="I118" t="s">
        <v>210</v>
      </c>
      <c r="J118">
        <v>2119</v>
      </c>
    </row>
    <row r="119" spans="9:10" x14ac:dyDescent="0.35">
      <c r="I119" t="s">
        <v>211</v>
      </c>
      <c r="J119">
        <v>3126</v>
      </c>
    </row>
    <row r="120" spans="9:10" x14ac:dyDescent="0.35">
      <c r="I120" t="s">
        <v>212</v>
      </c>
      <c r="J120">
        <v>5125</v>
      </c>
    </row>
    <row r="121" spans="9:10" x14ac:dyDescent="0.35">
      <c r="I121" t="s">
        <v>213</v>
      </c>
      <c r="J121">
        <v>6120</v>
      </c>
    </row>
    <row r="122" spans="9:10" x14ac:dyDescent="0.35">
      <c r="I122" t="s">
        <v>214</v>
      </c>
      <c r="J122">
        <v>4121</v>
      </c>
    </row>
    <row r="123" spans="9:10" x14ac:dyDescent="0.35">
      <c r="I123" t="s">
        <v>215</v>
      </c>
      <c r="J123">
        <v>5126</v>
      </c>
    </row>
    <row r="124" spans="9:10" x14ac:dyDescent="0.35">
      <c r="I124" t="s">
        <v>216</v>
      </c>
      <c r="J124">
        <v>3127</v>
      </c>
    </row>
    <row r="125" spans="9:10" x14ac:dyDescent="0.35">
      <c r="I125" t="s">
        <v>217</v>
      </c>
      <c r="J125">
        <v>5127</v>
      </c>
    </row>
    <row r="126" spans="9:10" x14ac:dyDescent="0.35">
      <c r="I126" t="s">
        <v>218</v>
      </c>
      <c r="J126">
        <v>4122</v>
      </c>
    </row>
    <row r="127" spans="9:10" x14ac:dyDescent="0.35">
      <c r="I127" t="s">
        <v>219</v>
      </c>
      <c r="J127">
        <v>5128</v>
      </c>
    </row>
    <row r="128" spans="9:10" x14ac:dyDescent="0.35">
      <c r="I128" t="s">
        <v>220</v>
      </c>
      <c r="J128">
        <v>5129</v>
      </c>
    </row>
    <row r="129" spans="9:10" x14ac:dyDescent="0.35">
      <c r="I129" t="s">
        <v>221</v>
      </c>
      <c r="J129">
        <v>5130</v>
      </c>
    </row>
    <row r="130" spans="9:10" x14ac:dyDescent="0.35">
      <c r="I130" t="s">
        <v>222</v>
      </c>
      <c r="J130">
        <v>2120</v>
      </c>
    </row>
    <row r="131" spans="9:10" x14ac:dyDescent="0.35">
      <c r="I131" t="s">
        <v>223</v>
      </c>
      <c r="J131">
        <v>3129</v>
      </c>
    </row>
    <row r="132" spans="9:10" x14ac:dyDescent="0.35">
      <c r="I132" t="s">
        <v>224</v>
      </c>
      <c r="J132">
        <v>6121</v>
      </c>
    </row>
    <row r="133" spans="9:10" x14ac:dyDescent="0.35">
      <c r="I133" t="s">
        <v>225</v>
      </c>
      <c r="J133">
        <v>5131</v>
      </c>
    </row>
    <row r="134" spans="9:10" x14ac:dyDescent="0.35">
      <c r="I134" t="s">
        <v>226</v>
      </c>
      <c r="J134">
        <v>6122</v>
      </c>
    </row>
    <row r="135" spans="9:10" x14ac:dyDescent="0.35">
      <c r="I135" t="s">
        <v>227</v>
      </c>
      <c r="J135">
        <v>1122</v>
      </c>
    </row>
    <row r="136" spans="9:10" x14ac:dyDescent="0.35">
      <c r="I136" t="s">
        <v>228</v>
      </c>
      <c r="J136">
        <v>6123</v>
      </c>
    </row>
    <row r="137" spans="9:10" x14ac:dyDescent="0.35">
      <c r="I137" t="s">
        <v>229</v>
      </c>
      <c r="J137">
        <v>5133</v>
      </c>
    </row>
    <row r="138" spans="9:10" x14ac:dyDescent="0.35">
      <c r="I138" t="s">
        <v>230</v>
      </c>
      <c r="J138">
        <v>4125</v>
      </c>
    </row>
    <row r="139" spans="9:10" x14ac:dyDescent="0.35">
      <c r="I139" t="s">
        <v>231</v>
      </c>
      <c r="J139">
        <v>2121</v>
      </c>
    </row>
    <row r="140" spans="9:10" x14ac:dyDescent="0.35">
      <c r="I140" t="s">
        <v>232</v>
      </c>
      <c r="J140">
        <v>3131</v>
      </c>
    </row>
    <row r="141" spans="9:10" x14ac:dyDescent="0.35">
      <c r="I141" t="s">
        <v>233</v>
      </c>
      <c r="J141">
        <v>3132</v>
      </c>
    </row>
    <row r="142" spans="9:10" x14ac:dyDescent="0.35">
      <c r="I142" t="s">
        <v>234</v>
      </c>
      <c r="J142">
        <v>5134</v>
      </c>
    </row>
    <row r="143" spans="9:10" x14ac:dyDescent="0.35">
      <c r="I143" t="s">
        <v>235</v>
      </c>
      <c r="J143">
        <v>6124</v>
      </c>
    </row>
    <row r="144" spans="9:10" x14ac:dyDescent="0.35">
      <c r="I144" t="s">
        <v>236</v>
      </c>
      <c r="J144">
        <v>4126</v>
      </c>
    </row>
    <row r="145" spans="9:10" x14ac:dyDescent="0.35">
      <c r="I145" t="s">
        <v>237</v>
      </c>
      <c r="J145">
        <v>3133</v>
      </c>
    </row>
    <row r="146" spans="9:10" x14ac:dyDescent="0.35">
      <c r="I146" t="s">
        <v>238</v>
      </c>
      <c r="J146">
        <v>6125</v>
      </c>
    </row>
    <row r="147" spans="9:10" x14ac:dyDescent="0.35">
      <c r="I147" t="s">
        <v>239</v>
      </c>
      <c r="J147">
        <v>5135</v>
      </c>
    </row>
    <row r="148" spans="9:10" x14ac:dyDescent="0.35">
      <c r="I148" t="s">
        <v>240</v>
      </c>
      <c r="J148">
        <v>2122</v>
      </c>
    </row>
    <row r="149" spans="9:10" x14ac:dyDescent="0.35">
      <c r="I149" t="s">
        <v>241</v>
      </c>
      <c r="J149">
        <v>4127</v>
      </c>
    </row>
    <row r="150" spans="9:10" x14ac:dyDescent="0.35">
      <c r="I150" t="s">
        <v>242</v>
      </c>
      <c r="J150">
        <v>4128</v>
      </c>
    </row>
    <row r="151" spans="9:10" x14ac:dyDescent="0.35">
      <c r="I151" t="s">
        <v>243</v>
      </c>
      <c r="J151">
        <v>5136</v>
      </c>
    </row>
    <row r="152" spans="9:10" x14ac:dyDescent="0.35">
      <c r="I152" t="s">
        <v>244</v>
      </c>
      <c r="J152">
        <v>6126</v>
      </c>
    </row>
    <row r="153" spans="9:10" x14ac:dyDescent="0.35">
      <c r="I153" t="s">
        <v>245</v>
      </c>
      <c r="J153">
        <v>1124</v>
      </c>
    </row>
    <row r="154" spans="9:10" x14ac:dyDescent="0.35">
      <c r="I154" t="s">
        <v>246</v>
      </c>
      <c r="J154">
        <v>3134</v>
      </c>
    </row>
    <row r="155" spans="9:10" x14ac:dyDescent="0.35">
      <c r="I155" t="s">
        <v>247</v>
      </c>
      <c r="J155">
        <v>2123</v>
      </c>
    </row>
    <row r="156" spans="9:10" x14ac:dyDescent="0.35">
      <c r="I156" t="s">
        <v>248</v>
      </c>
      <c r="J156">
        <v>6127</v>
      </c>
    </row>
    <row r="157" spans="9:10" x14ac:dyDescent="0.35">
      <c r="I157" t="s">
        <v>249</v>
      </c>
      <c r="J157">
        <v>2124</v>
      </c>
    </row>
    <row r="158" spans="9:10" x14ac:dyDescent="0.35">
      <c r="I158" t="s">
        <v>250</v>
      </c>
      <c r="J158">
        <v>3135</v>
      </c>
    </row>
    <row r="159" spans="9:10" x14ac:dyDescent="0.35">
      <c r="I159" t="s">
        <v>251</v>
      </c>
      <c r="J159">
        <v>3136</v>
      </c>
    </row>
    <row r="160" spans="9:10" x14ac:dyDescent="0.35">
      <c r="I160" t="s">
        <v>252</v>
      </c>
      <c r="J160">
        <v>3137</v>
      </c>
    </row>
    <row r="161" spans="9:10" x14ac:dyDescent="0.35">
      <c r="I161" t="s">
        <v>253</v>
      </c>
      <c r="J161">
        <v>2125</v>
      </c>
    </row>
    <row r="162" spans="9:10" x14ac:dyDescent="0.35">
      <c r="I162" t="s">
        <v>254</v>
      </c>
      <c r="J162">
        <v>4129</v>
      </c>
    </row>
    <row r="163" spans="9:10" x14ac:dyDescent="0.35">
      <c r="I163" t="s">
        <v>255</v>
      </c>
      <c r="J163">
        <v>6128</v>
      </c>
    </row>
    <row r="164" spans="9:10" x14ac:dyDescent="0.35">
      <c r="I164" t="s">
        <v>256</v>
      </c>
      <c r="J164">
        <v>6129</v>
      </c>
    </row>
    <row r="165" spans="9:10" x14ac:dyDescent="0.35">
      <c r="I165" t="s">
        <v>257</v>
      </c>
      <c r="J165">
        <v>3138</v>
      </c>
    </row>
    <row r="166" spans="9:10" x14ac:dyDescent="0.35">
      <c r="I166" t="s">
        <v>258</v>
      </c>
      <c r="J166">
        <v>6130</v>
      </c>
    </row>
    <row r="167" spans="9:10" x14ac:dyDescent="0.35">
      <c r="I167" t="s">
        <v>259</v>
      </c>
      <c r="J167">
        <v>3139</v>
      </c>
    </row>
    <row r="168" spans="9:10" x14ac:dyDescent="0.35">
      <c r="I168" t="s">
        <v>622</v>
      </c>
      <c r="J168">
        <v>2173</v>
      </c>
    </row>
    <row r="169" spans="9:10" x14ac:dyDescent="0.35">
      <c r="I169" t="s">
        <v>260</v>
      </c>
      <c r="J169">
        <v>1125</v>
      </c>
    </row>
    <row r="170" spans="9:10" x14ac:dyDescent="0.35">
      <c r="I170" t="s">
        <v>261</v>
      </c>
      <c r="J170">
        <v>3140</v>
      </c>
    </row>
    <row r="171" spans="9:10" x14ac:dyDescent="0.35">
      <c r="I171" t="s">
        <v>262</v>
      </c>
      <c r="J171">
        <v>5137</v>
      </c>
    </row>
    <row r="172" spans="9:10" x14ac:dyDescent="0.35">
      <c r="I172" t="s">
        <v>263</v>
      </c>
      <c r="J172">
        <v>1126</v>
      </c>
    </row>
    <row r="173" spans="9:10" x14ac:dyDescent="0.35">
      <c r="I173" t="s">
        <v>264</v>
      </c>
      <c r="J173">
        <v>2126</v>
      </c>
    </row>
    <row r="174" spans="9:10" x14ac:dyDescent="0.35">
      <c r="I174" t="s">
        <v>265</v>
      </c>
      <c r="J174">
        <v>5138</v>
      </c>
    </row>
    <row r="175" spans="9:10" x14ac:dyDescent="0.35">
      <c r="I175" t="s">
        <v>266</v>
      </c>
      <c r="J175">
        <v>1127</v>
      </c>
    </row>
    <row r="176" spans="9:10" x14ac:dyDescent="0.35">
      <c r="I176" t="s">
        <v>267</v>
      </c>
      <c r="J176">
        <v>3141</v>
      </c>
    </row>
    <row r="177" spans="9:10" x14ac:dyDescent="0.35">
      <c r="I177" t="s">
        <v>268</v>
      </c>
      <c r="J177">
        <v>5139</v>
      </c>
    </row>
    <row r="178" spans="9:10" x14ac:dyDescent="0.35">
      <c r="I178" t="s">
        <v>269</v>
      </c>
      <c r="J178">
        <v>5140</v>
      </c>
    </row>
    <row r="179" spans="9:10" x14ac:dyDescent="0.35">
      <c r="I179" t="s">
        <v>270</v>
      </c>
      <c r="J179">
        <v>2127</v>
      </c>
    </row>
    <row r="180" spans="9:10" x14ac:dyDescent="0.35">
      <c r="I180" t="s">
        <v>271</v>
      </c>
      <c r="J180">
        <v>2128</v>
      </c>
    </row>
    <row r="181" spans="9:10" x14ac:dyDescent="0.35">
      <c r="I181" t="s">
        <v>272</v>
      </c>
      <c r="J181">
        <v>5141</v>
      </c>
    </row>
    <row r="182" spans="9:10" x14ac:dyDescent="0.35">
      <c r="I182" t="s">
        <v>273</v>
      </c>
      <c r="J182">
        <v>6131</v>
      </c>
    </row>
    <row r="183" spans="9:10" x14ac:dyDescent="0.35">
      <c r="I183" t="s">
        <v>274</v>
      </c>
      <c r="J183">
        <v>1128</v>
      </c>
    </row>
    <row r="184" spans="9:10" x14ac:dyDescent="0.35">
      <c r="I184" t="s">
        <v>275</v>
      </c>
      <c r="J184">
        <v>2129</v>
      </c>
    </row>
    <row r="185" spans="9:10" x14ac:dyDescent="0.35">
      <c r="I185" t="s">
        <v>276</v>
      </c>
      <c r="J185">
        <v>3142</v>
      </c>
    </row>
    <row r="186" spans="9:10" x14ac:dyDescent="0.35">
      <c r="I186" t="s">
        <v>277</v>
      </c>
      <c r="J186">
        <v>1129</v>
      </c>
    </row>
    <row r="187" spans="9:10" x14ac:dyDescent="0.35">
      <c r="I187" t="s">
        <v>278</v>
      </c>
      <c r="J187">
        <v>6132</v>
      </c>
    </row>
    <row r="188" spans="9:10" x14ac:dyDescent="0.35">
      <c r="I188" t="s">
        <v>279</v>
      </c>
      <c r="J188">
        <v>2131</v>
      </c>
    </row>
    <row r="189" spans="9:10" x14ac:dyDescent="0.35">
      <c r="I189" t="s">
        <v>280</v>
      </c>
      <c r="J189">
        <v>1130</v>
      </c>
    </row>
    <row r="190" spans="9:10" x14ac:dyDescent="0.35">
      <c r="I190" t="s">
        <v>281</v>
      </c>
      <c r="J190">
        <v>4131</v>
      </c>
    </row>
    <row r="191" spans="9:10" x14ac:dyDescent="0.35">
      <c r="I191" t="s">
        <v>282</v>
      </c>
      <c r="J191">
        <v>2132</v>
      </c>
    </row>
    <row r="192" spans="9:10" x14ac:dyDescent="0.35">
      <c r="I192" t="s">
        <v>283</v>
      </c>
      <c r="J192">
        <v>5142</v>
      </c>
    </row>
    <row r="193" spans="9:10" x14ac:dyDescent="0.35">
      <c r="I193" t="s">
        <v>284</v>
      </c>
      <c r="J193">
        <v>5143</v>
      </c>
    </row>
    <row r="194" spans="9:10" x14ac:dyDescent="0.35">
      <c r="I194" t="s">
        <v>285</v>
      </c>
      <c r="J194">
        <v>2133</v>
      </c>
    </row>
    <row r="195" spans="9:10" x14ac:dyDescent="0.35">
      <c r="I195" t="s">
        <v>286</v>
      </c>
      <c r="J195">
        <v>6133</v>
      </c>
    </row>
    <row r="196" spans="9:10" x14ac:dyDescent="0.35">
      <c r="I196" t="s">
        <v>287</v>
      </c>
      <c r="J196">
        <v>6134</v>
      </c>
    </row>
    <row r="197" spans="9:10" x14ac:dyDescent="0.35">
      <c r="I197" t="s">
        <v>288</v>
      </c>
      <c r="J197">
        <v>3143</v>
      </c>
    </row>
    <row r="198" spans="9:10" x14ac:dyDescent="0.35">
      <c r="I198" t="s">
        <v>289</v>
      </c>
      <c r="J198">
        <v>5144</v>
      </c>
    </row>
    <row r="199" spans="9:10" x14ac:dyDescent="0.35">
      <c r="I199" t="s">
        <v>290</v>
      </c>
      <c r="J199">
        <v>1131</v>
      </c>
    </row>
    <row r="200" spans="9:10" x14ac:dyDescent="0.35">
      <c r="I200" t="s">
        <v>291</v>
      </c>
      <c r="J200">
        <v>4132</v>
      </c>
    </row>
    <row r="201" spans="9:10" x14ac:dyDescent="0.35">
      <c r="I201" t="s">
        <v>292</v>
      </c>
      <c r="J201">
        <v>5145</v>
      </c>
    </row>
    <row r="202" spans="9:10" x14ac:dyDescent="0.35">
      <c r="I202" t="s">
        <v>293</v>
      </c>
      <c r="J202">
        <v>4133</v>
      </c>
    </row>
    <row r="203" spans="9:10" x14ac:dyDescent="0.35">
      <c r="I203" t="s">
        <v>294</v>
      </c>
      <c r="J203">
        <v>6135</v>
      </c>
    </row>
    <row r="204" spans="9:10" x14ac:dyDescent="0.35">
      <c r="I204" t="s">
        <v>295</v>
      </c>
      <c r="J204">
        <v>3144</v>
      </c>
    </row>
    <row r="205" spans="9:10" x14ac:dyDescent="0.35">
      <c r="I205" t="s">
        <v>296</v>
      </c>
      <c r="J205">
        <v>2134</v>
      </c>
    </row>
    <row r="206" spans="9:10" x14ac:dyDescent="0.35">
      <c r="I206" t="s">
        <v>297</v>
      </c>
      <c r="J206">
        <v>5146</v>
      </c>
    </row>
    <row r="207" spans="9:10" x14ac:dyDescent="0.35">
      <c r="I207" t="s">
        <v>298</v>
      </c>
      <c r="J207">
        <v>4134</v>
      </c>
    </row>
    <row r="208" spans="9:10" x14ac:dyDescent="0.35">
      <c r="I208" t="s">
        <v>299</v>
      </c>
      <c r="J208">
        <v>5147</v>
      </c>
    </row>
    <row r="209" spans="9:10" x14ac:dyDescent="0.35">
      <c r="I209" t="s">
        <v>300</v>
      </c>
      <c r="J209">
        <v>1133</v>
      </c>
    </row>
    <row r="210" spans="9:10" x14ac:dyDescent="0.35">
      <c r="I210" t="s">
        <v>301</v>
      </c>
      <c r="J210">
        <v>5148</v>
      </c>
    </row>
    <row r="211" spans="9:10" x14ac:dyDescent="0.35">
      <c r="I211" t="s">
        <v>302</v>
      </c>
      <c r="J211">
        <v>4179</v>
      </c>
    </row>
    <row r="212" spans="9:10" x14ac:dyDescent="0.35">
      <c r="I212" t="s">
        <v>303</v>
      </c>
      <c r="J212">
        <v>2136</v>
      </c>
    </row>
    <row r="213" spans="9:10" x14ac:dyDescent="0.35">
      <c r="I213" t="s">
        <v>304</v>
      </c>
      <c r="J213">
        <v>6136</v>
      </c>
    </row>
    <row r="214" spans="9:10" x14ac:dyDescent="0.35">
      <c r="I214" t="s">
        <v>305</v>
      </c>
      <c r="J214">
        <v>2137</v>
      </c>
    </row>
    <row r="215" spans="9:10" x14ac:dyDescent="0.35">
      <c r="I215" t="s">
        <v>306</v>
      </c>
      <c r="J215">
        <v>4135</v>
      </c>
    </row>
    <row r="216" spans="9:10" x14ac:dyDescent="0.35">
      <c r="I216" t="s">
        <v>307</v>
      </c>
      <c r="J216">
        <v>4136</v>
      </c>
    </row>
    <row r="217" spans="9:10" x14ac:dyDescent="0.35">
      <c r="I217" t="s">
        <v>308</v>
      </c>
      <c r="J217">
        <v>3145</v>
      </c>
    </row>
    <row r="218" spans="9:10" x14ac:dyDescent="0.35">
      <c r="I218" t="s">
        <v>309</v>
      </c>
      <c r="J218">
        <v>5149</v>
      </c>
    </row>
    <row r="219" spans="9:10" x14ac:dyDescent="0.35">
      <c r="I219" t="s">
        <v>310</v>
      </c>
      <c r="J219">
        <v>6137</v>
      </c>
    </row>
    <row r="220" spans="9:10" x14ac:dyDescent="0.35">
      <c r="I220" t="s">
        <v>311</v>
      </c>
      <c r="J220">
        <v>6138</v>
      </c>
    </row>
    <row r="221" spans="9:10" x14ac:dyDescent="0.35">
      <c r="I221" t="s">
        <v>312</v>
      </c>
      <c r="J221">
        <v>4137</v>
      </c>
    </row>
    <row r="222" spans="9:10" x14ac:dyDescent="0.35">
      <c r="I222" t="s">
        <v>313</v>
      </c>
      <c r="J222">
        <v>5150</v>
      </c>
    </row>
    <row r="223" spans="9:10" x14ac:dyDescent="0.35">
      <c r="I223" t="s">
        <v>314</v>
      </c>
      <c r="J223">
        <v>4138</v>
      </c>
    </row>
    <row r="224" spans="9:10" x14ac:dyDescent="0.35">
      <c r="I224" t="s">
        <v>315</v>
      </c>
      <c r="J224">
        <v>3146</v>
      </c>
    </row>
    <row r="225" spans="9:10" x14ac:dyDescent="0.35">
      <c r="I225" t="s">
        <v>316</v>
      </c>
      <c r="J225">
        <v>1134</v>
      </c>
    </row>
    <row r="226" spans="9:10" x14ac:dyDescent="0.35">
      <c r="I226" t="s">
        <v>317</v>
      </c>
      <c r="J226">
        <v>6139</v>
      </c>
    </row>
    <row r="227" spans="9:10" x14ac:dyDescent="0.35">
      <c r="I227" t="s">
        <v>318</v>
      </c>
      <c r="J227">
        <v>6140</v>
      </c>
    </row>
    <row r="228" spans="9:10" x14ac:dyDescent="0.35">
      <c r="I228" t="s">
        <v>319</v>
      </c>
      <c r="J228">
        <v>2139</v>
      </c>
    </row>
    <row r="229" spans="9:10" x14ac:dyDescent="0.35">
      <c r="I229" t="s">
        <v>320</v>
      </c>
      <c r="J229">
        <v>4139</v>
      </c>
    </row>
    <row r="230" spans="9:10" x14ac:dyDescent="0.35">
      <c r="I230" t="s">
        <v>321</v>
      </c>
      <c r="J230">
        <v>2140</v>
      </c>
    </row>
    <row r="231" spans="9:10" x14ac:dyDescent="0.35">
      <c r="I231" t="s">
        <v>322</v>
      </c>
      <c r="J231">
        <v>4140</v>
      </c>
    </row>
    <row r="232" spans="9:10" x14ac:dyDescent="0.35">
      <c r="I232" t="s">
        <v>323</v>
      </c>
      <c r="J232">
        <v>2141</v>
      </c>
    </row>
    <row r="233" spans="9:10" x14ac:dyDescent="0.35">
      <c r="I233" t="s">
        <v>324</v>
      </c>
      <c r="J233">
        <v>6142</v>
      </c>
    </row>
    <row r="234" spans="9:10" x14ac:dyDescent="0.35">
      <c r="I234" t="s">
        <v>325</v>
      </c>
      <c r="J234">
        <v>2142</v>
      </c>
    </row>
    <row r="235" spans="9:10" x14ac:dyDescent="0.35">
      <c r="I235" t="s">
        <v>326</v>
      </c>
      <c r="J235">
        <v>2143</v>
      </c>
    </row>
    <row r="236" spans="9:10" x14ac:dyDescent="0.35">
      <c r="I236" t="s">
        <v>327</v>
      </c>
      <c r="J236">
        <v>2144</v>
      </c>
    </row>
    <row r="237" spans="9:10" x14ac:dyDescent="0.35">
      <c r="I237" t="s">
        <v>328</v>
      </c>
      <c r="J237">
        <v>4141</v>
      </c>
    </row>
    <row r="238" spans="9:10" x14ac:dyDescent="0.35">
      <c r="I238" t="s">
        <v>329</v>
      </c>
      <c r="J238">
        <v>2146</v>
      </c>
    </row>
    <row r="239" spans="9:10" x14ac:dyDescent="0.35">
      <c r="I239" t="s">
        <v>330</v>
      </c>
      <c r="J239">
        <v>6143</v>
      </c>
    </row>
    <row r="240" spans="9:10" x14ac:dyDescent="0.35">
      <c r="I240" t="s">
        <v>331</v>
      </c>
      <c r="J240">
        <v>4142</v>
      </c>
    </row>
    <row r="241" spans="9:10" x14ac:dyDescent="0.35">
      <c r="I241" t="s">
        <v>332</v>
      </c>
      <c r="J241">
        <v>10999</v>
      </c>
    </row>
    <row r="242" spans="9:10" x14ac:dyDescent="0.35">
      <c r="I242" t="s">
        <v>333</v>
      </c>
      <c r="J242">
        <v>5152</v>
      </c>
    </row>
    <row r="243" spans="9:10" x14ac:dyDescent="0.35">
      <c r="I243" t="s">
        <v>334</v>
      </c>
      <c r="J243">
        <v>6144</v>
      </c>
    </row>
    <row r="244" spans="9:10" x14ac:dyDescent="0.35">
      <c r="I244" t="s">
        <v>335</v>
      </c>
      <c r="J244">
        <v>4143</v>
      </c>
    </row>
    <row r="245" spans="9:10" x14ac:dyDescent="0.35">
      <c r="I245" t="s">
        <v>336</v>
      </c>
      <c r="J245">
        <v>4144</v>
      </c>
    </row>
    <row r="246" spans="9:10" x14ac:dyDescent="0.35">
      <c r="I246" t="s">
        <v>337</v>
      </c>
      <c r="J246">
        <v>4145</v>
      </c>
    </row>
    <row r="247" spans="9:10" x14ac:dyDescent="0.35">
      <c r="I247" t="s">
        <v>338</v>
      </c>
      <c r="J247">
        <v>3147</v>
      </c>
    </row>
    <row r="248" spans="9:10" x14ac:dyDescent="0.35">
      <c r="I248" t="s">
        <v>339</v>
      </c>
      <c r="J248">
        <v>6145</v>
      </c>
    </row>
    <row r="249" spans="9:10" x14ac:dyDescent="0.35">
      <c r="I249" t="s">
        <v>340</v>
      </c>
      <c r="J249">
        <v>4146</v>
      </c>
    </row>
    <row r="250" spans="9:10" x14ac:dyDescent="0.35">
      <c r="I250" t="s">
        <v>341</v>
      </c>
      <c r="J250">
        <v>1135</v>
      </c>
    </row>
    <row r="251" spans="9:10" x14ac:dyDescent="0.35">
      <c r="I251" t="s">
        <v>342</v>
      </c>
      <c r="J251">
        <v>3148</v>
      </c>
    </row>
    <row r="252" spans="9:10" x14ac:dyDescent="0.35">
      <c r="I252" t="s">
        <v>343</v>
      </c>
      <c r="J252">
        <v>1136</v>
      </c>
    </row>
    <row r="253" spans="9:10" x14ac:dyDescent="0.35">
      <c r="I253" t="s">
        <v>344</v>
      </c>
      <c r="J253">
        <v>1137</v>
      </c>
    </row>
    <row r="254" spans="9:10" x14ac:dyDescent="0.35">
      <c r="I254" t="s">
        <v>345</v>
      </c>
      <c r="J254">
        <v>1138</v>
      </c>
    </row>
    <row r="255" spans="9:10" x14ac:dyDescent="0.35">
      <c r="I255" t="s">
        <v>346</v>
      </c>
      <c r="J255">
        <v>1139</v>
      </c>
    </row>
    <row r="256" spans="9:10" x14ac:dyDescent="0.35">
      <c r="I256" t="s">
        <v>347</v>
      </c>
      <c r="J256">
        <v>1140</v>
      </c>
    </row>
    <row r="257" spans="9:10" x14ac:dyDescent="0.35">
      <c r="I257" t="s">
        <v>348</v>
      </c>
      <c r="J257">
        <v>6146</v>
      </c>
    </row>
    <row r="258" spans="9:10" x14ac:dyDescent="0.35">
      <c r="I258" t="s">
        <v>349</v>
      </c>
      <c r="J258">
        <v>3149</v>
      </c>
    </row>
    <row r="259" spans="9:10" x14ac:dyDescent="0.35">
      <c r="I259" t="s">
        <v>350</v>
      </c>
      <c r="J259">
        <v>1141</v>
      </c>
    </row>
    <row r="260" spans="9:10" x14ac:dyDescent="0.35">
      <c r="I260" t="s">
        <v>351</v>
      </c>
      <c r="J260">
        <v>3150</v>
      </c>
    </row>
    <row r="261" spans="9:10" x14ac:dyDescent="0.35">
      <c r="I261" t="s">
        <v>352</v>
      </c>
      <c r="J261">
        <v>1142</v>
      </c>
    </row>
    <row r="262" spans="9:10" x14ac:dyDescent="0.35">
      <c r="I262" t="s">
        <v>353</v>
      </c>
      <c r="J262">
        <v>3151</v>
      </c>
    </row>
    <row r="263" spans="9:10" x14ac:dyDescent="0.35">
      <c r="I263" t="s">
        <v>354</v>
      </c>
      <c r="J263">
        <v>1143</v>
      </c>
    </row>
    <row r="264" spans="9:10" x14ac:dyDescent="0.35">
      <c r="I264" t="s">
        <v>355</v>
      </c>
      <c r="J264">
        <v>1144</v>
      </c>
    </row>
    <row r="265" spans="9:10" x14ac:dyDescent="0.35">
      <c r="I265" t="s">
        <v>356</v>
      </c>
      <c r="J265">
        <v>2147</v>
      </c>
    </row>
    <row r="266" spans="9:10" x14ac:dyDescent="0.35">
      <c r="I266" t="s">
        <v>357</v>
      </c>
      <c r="J266">
        <v>5153</v>
      </c>
    </row>
    <row r="267" spans="9:10" x14ac:dyDescent="0.35">
      <c r="I267" t="s">
        <v>358</v>
      </c>
      <c r="J267">
        <v>3152</v>
      </c>
    </row>
    <row r="268" spans="9:10" x14ac:dyDescent="0.35">
      <c r="I268" t="s">
        <v>359</v>
      </c>
      <c r="J268">
        <v>5154</v>
      </c>
    </row>
    <row r="269" spans="9:10" x14ac:dyDescent="0.35">
      <c r="I269" t="s">
        <v>360</v>
      </c>
      <c r="J269">
        <v>6147</v>
      </c>
    </row>
    <row r="270" spans="9:10" x14ac:dyDescent="0.35">
      <c r="I270" t="s">
        <v>361</v>
      </c>
      <c r="J270">
        <v>5155</v>
      </c>
    </row>
    <row r="271" spans="9:10" x14ac:dyDescent="0.35">
      <c r="I271" t="s">
        <v>362</v>
      </c>
      <c r="J271">
        <v>5156</v>
      </c>
    </row>
    <row r="272" spans="9:10" x14ac:dyDescent="0.35">
      <c r="I272" t="s">
        <v>363</v>
      </c>
      <c r="J272">
        <v>5157</v>
      </c>
    </row>
    <row r="273" spans="9:10" x14ac:dyDescent="0.35">
      <c r="I273" t="s">
        <v>364</v>
      </c>
      <c r="J273">
        <v>3153</v>
      </c>
    </row>
    <row r="274" spans="9:10" x14ac:dyDescent="0.35">
      <c r="I274" t="s">
        <v>365</v>
      </c>
      <c r="J274">
        <v>6148</v>
      </c>
    </row>
    <row r="275" spans="9:10" x14ac:dyDescent="0.35">
      <c r="I275" t="s">
        <v>366</v>
      </c>
      <c r="J275">
        <v>2148</v>
      </c>
    </row>
    <row r="276" spans="9:10" x14ac:dyDescent="0.35">
      <c r="I276" t="s">
        <v>367</v>
      </c>
      <c r="J276">
        <v>4147</v>
      </c>
    </row>
    <row r="277" spans="9:10" x14ac:dyDescent="0.35">
      <c r="I277" t="s">
        <v>368</v>
      </c>
      <c r="J277">
        <v>3154</v>
      </c>
    </row>
    <row r="278" spans="9:10" x14ac:dyDescent="0.35">
      <c r="I278" t="s">
        <v>369</v>
      </c>
      <c r="J278">
        <v>4148</v>
      </c>
    </row>
    <row r="279" spans="9:10" x14ac:dyDescent="0.35">
      <c r="I279" t="s">
        <v>370</v>
      </c>
      <c r="J279">
        <v>5159</v>
      </c>
    </row>
    <row r="280" spans="9:10" x14ac:dyDescent="0.35">
      <c r="I280" t="s">
        <v>371</v>
      </c>
      <c r="J280">
        <v>5160</v>
      </c>
    </row>
    <row r="281" spans="9:10" x14ac:dyDescent="0.35">
      <c r="I281" t="s">
        <v>372</v>
      </c>
      <c r="J281">
        <v>3155</v>
      </c>
    </row>
    <row r="282" spans="9:10" x14ac:dyDescent="0.35">
      <c r="I282" t="s">
        <v>373</v>
      </c>
      <c r="J282">
        <v>5162</v>
      </c>
    </row>
    <row r="283" spans="9:10" x14ac:dyDescent="0.35">
      <c r="I283" t="s">
        <v>374</v>
      </c>
      <c r="J283">
        <v>6149</v>
      </c>
    </row>
    <row r="284" spans="9:10" x14ac:dyDescent="0.35">
      <c r="I284" t="s">
        <v>375</v>
      </c>
      <c r="J284">
        <v>1145</v>
      </c>
    </row>
    <row r="285" spans="9:10" x14ac:dyDescent="0.35">
      <c r="I285" t="s">
        <v>376</v>
      </c>
      <c r="J285">
        <v>6150</v>
      </c>
    </row>
    <row r="286" spans="9:10" x14ac:dyDescent="0.35">
      <c r="I286" t="s">
        <v>377</v>
      </c>
      <c r="J286">
        <v>3156</v>
      </c>
    </row>
    <row r="287" spans="9:10" x14ac:dyDescent="0.35">
      <c r="I287" t="s">
        <v>378</v>
      </c>
      <c r="J287">
        <v>6151</v>
      </c>
    </row>
    <row r="288" spans="9:10" x14ac:dyDescent="0.35">
      <c r="I288" t="s">
        <v>379</v>
      </c>
      <c r="J288">
        <v>3157</v>
      </c>
    </row>
    <row r="289" spans="9:10" x14ac:dyDescent="0.35">
      <c r="I289" t="s">
        <v>380</v>
      </c>
      <c r="J289">
        <v>5163</v>
      </c>
    </row>
    <row r="290" spans="9:10" x14ac:dyDescent="0.35">
      <c r="I290" t="s">
        <v>381</v>
      </c>
      <c r="J290">
        <v>1146</v>
      </c>
    </row>
    <row r="291" spans="9:10" x14ac:dyDescent="0.35">
      <c r="I291" t="s">
        <v>382</v>
      </c>
      <c r="J291">
        <v>2149</v>
      </c>
    </row>
    <row r="292" spans="9:10" x14ac:dyDescent="0.35">
      <c r="I292" t="s">
        <v>383</v>
      </c>
      <c r="J292">
        <v>2150</v>
      </c>
    </row>
    <row r="293" spans="9:10" x14ac:dyDescent="0.35">
      <c r="I293" t="s">
        <v>384</v>
      </c>
      <c r="J293">
        <v>2151</v>
      </c>
    </row>
    <row r="294" spans="9:10" x14ac:dyDescent="0.35">
      <c r="I294" t="s">
        <v>385</v>
      </c>
      <c r="J294">
        <v>2152</v>
      </c>
    </row>
    <row r="295" spans="9:10" x14ac:dyDescent="0.35">
      <c r="I295" t="s">
        <v>386</v>
      </c>
      <c r="J295">
        <v>5164</v>
      </c>
    </row>
    <row r="296" spans="9:10" x14ac:dyDescent="0.35">
      <c r="I296" t="s">
        <v>387</v>
      </c>
      <c r="J296">
        <v>3158</v>
      </c>
    </row>
    <row r="297" spans="9:10" x14ac:dyDescent="0.35">
      <c r="I297" t="s">
        <v>388</v>
      </c>
      <c r="J297">
        <v>4149</v>
      </c>
    </row>
    <row r="298" spans="9:10" x14ac:dyDescent="0.35">
      <c r="I298" t="s">
        <v>389</v>
      </c>
      <c r="J298">
        <v>4150</v>
      </c>
    </row>
    <row r="299" spans="9:10" x14ac:dyDescent="0.35">
      <c r="I299" t="s">
        <v>390</v>
      </c>
      <c r="J299">
        <v>4151</v>
      </c>
    </row>
    <row r="300" spans="9:10" x14ac:dyDescent="0.35">
      <c r="I300" t="s">
        <v>391</v>
      </c>
      <c r="J300">
        <v>4152</v>
      </c>
    </row>
    <row r="301" spans="9:10" x14ac:dyDescent="0.35">
      <c r="I301" t="s">
        <v>392</v>
      </c>
      <c r="J301">
        <v>6152</v>
      </c>
    </row>
    <row r="302" spans="9:10" x14ac:dyDescent="0.35">
      <c r="I302" t="s">
        <v>393</v>
      </c>
      <c r="J302">
        <v>6153</v>
      </c>
    </row>
    <row r="303" spans="9:10" x14ac:dyDescent="0.35">
      <c r="I303" t="s">
        <v>394</v>
      </c>
      <c r="J303">
        <v>5165</v>
      </c>
    </row>
    <row r="304" spans="9:10" x14ac:dyDescent="0.35">
      <c r="I304" t="s">
        <v>395</v>
      </c>
      <c r="J304">
        <v>6154</v>
      </c>
    </row>
    <row r="305" spans="9:10" x14ac:dyDescent="0.35">
      <c r="I305" t="s">
        <v>396</v>
      </c>
      <c r="J305">
        <v>4153</v>
      </c>
    </row>
    <row r="306" spans="9:10" x14ac:dyDescent="0.35">
      <c r="I306" t="s">
        <v>397</v>
      </c>
      <c r="J306">
        <v>1147</v>
      </c>
    </row>
    <row r="307" spans="9:10" x14ac:dyDescent="0.35">
      <c r="I307" t="s">
        <v>398</v>
      </c>
      <c r="J307">
        <v>5166</v>
      </c>
    </row>
    <row r="308" spans="9:10" x14ac:dyDescent="0.35">
      <c r="I308" t="s">
        <v>399</v>
      </c>
      <c r="J308">
        <v>1148</v>
      </c>
    </row>
    <row r="309" spans="9:10" x14ac:dyDescent="0.35">
      <c r="I309" t="s">
        <v>400</v>
      </c>
      <c r="J309">
        <v>6155</v>
      </c>
    </row>
    <row r="310" spans="9:10" x14ac:dyDescent="0.35">
      <c r="I310" t="s">
        <v>401</v>
      </c>
      <c r="J310">
        <v>1149</v>
      </c>
    </row>
    <row r="311" spans="9:10" x14ac:dyDescent="0.35">
      <c r="I311" t="s">
        <v>94</v>
      </c>
      <c r="J311">
        <v>4154</v>
      </c>
    </row>
    <row r="312" spans="9:10" x14ac:dyDescent="0.35">
      <c r="I312" t="s">
        <v>402</v>
      </c>
      <c r="J312">
        <v>3159</v>
      </c>
    </row>
    <row r="313" spans="9:10" x14ac:dyDescent="0.35">
      <c r="I313" t="s">
        <v>403</v>
      </c>
      <c r="J313">
        <v>5167</v>
      </c>
    </row>
    <row r="314" spans="9:10" x14ac:dyDescent="0.35">
      <c r="I314" t="s">
        <v>404</v>
      </c>
      <c r="J314">
        <v>5168</v>
      </c>
    </row>
    <row r="315" spans="9:10" x14ac:dyDescent="0.35">
      <c r="I315" t="s">
        <v>405</v>
      </c>
      <c r="J315">
        <v>5169</v>
      </c>
    </row>
    <row r="316" spans="9:10" x14ac:dyDescent="0.35">
      <c r="I316" t="s">
        <v>406</v>
      </c>
      <c r="J316">
        <v>5170</v>
      </c>
    </row>
    <row r="317" spans="9:10" x14ac:dyDescent="0.35">
      <c r="I317" t="s">
        <v>407</v>
      </c>
      <c r="J317">
        <v>1150</v>
      </c>
    </row>
    <row r="318" spans="9:10" x14ac:dyDescent="0.35">
      <c r="I318" t="s">
        <v>408</v>
      </c>
      <c r="J318">
        <v>2153</v>
      </c>
    </row>
    <row r="319" spans="9:10" x14ac:dyDescent="0.35">
      <c r="I319" t="s">
        <v>409</v>
      </c>
      <c r="J319">
        <v>1151</v>
      </c>
    </row>
    <row r="320" spans="9:10" x14ac:dyDescent="0.35">
      <c r="I320" t="s">
        <v>410</v>
      </c>
      <c r="J320">
        <v>2154</v>
      </c>
    </row>
    <row r="321" spans="9:10" x14ac:dyDescent="0.35">
      <c r="I321" t="s">
        <v>411</v>
      </c>
      <c r="J321">
        <v>2155</v>
      </c>
    </row>
    <row r="322" spans="9:10" x14ac:dyDescent="0.35">
      <c r="I322" t="s">
        <v>412</v>
      </c>
      <c r="J322">
        <v>5171</v>
      </c>
    </row>
    <row r="323" spans="9:10" x14ac:dyDescent="0.35">
      <c r="I323" t="s">
        <v>413</v>
      </c>
      <c r="J323">
        <v>3160</v>
      </c>
    </row>
    <row r="324" spans="9:10" x14ac:dyDescent="0.35">
      <c r="I324" t="s">
        <v>414</v>
      </c>
      <c r="J324">
        <v>2156</v>
      </c>
    </row>
    <row r="325" spans="9:10" x14ac:dyDescent="0.35">
      <c r="I325" t="s">
        <v>415</v>
      </c>
      <c r="J325">
        <v>6156</v>
      </c>
    </row>
    <row r="326" spans="9:10" x14ac:dyDescent="0.35">
      <c r="I326" t="s">
        <v>416</v>
      </c>
      <c r="J326">
        <v>3161</v>
      </c>
    </row>
    <row r="327" spans="9:10" x14ac:dyDescent="0.35">
      <c r="I327" t="s">
        <v>417</v>
      </c>
      <c r="J327">
        <v>6157</v>
      </c>
    </row>
    <row r="328" spans="9:10" x14ac:dyDescent="0.35">
      <c r="I328" t="s">
        <v>418</v>
      </c>
      <c r="J328">
        <v>6158</v>
      </c>
    </row>
    <row r="329" spans="9:10" x14ac:dyDescent="0.35">
      <c r="I329" t="s">
        <v>419</v>
      </c>
      <c r="J329">
        <v>3162</v>
      </c>
    </row>
    <row r="330" spans="9:10" x14ac:dyDescent="0.35">
      <c r="I330" t="s">
        <v>420</v>
      </c>
      <c r="J330">
        <v>3163</v>
      </c>
    </row>
    <row r="331" spans="9:10" x14ac:dyDescent="0.35">
      <c r="I331" t="s">
        <v>421</v>
      </c>
      <c r="J331">
        <v>3164</v>
      </c>
    </row>
    <row r="332" spans="9:10" x14ac:dyDescent="0.35">
      <c r="I332" t="s">
        <v>422</v>
      </c>
      <c r="J332">
        <v>3165</v>
      </c>
    </row>
    <row r="333" spans="9:10" x14ac:dyDescent="0.35">
      <c r="I333" t="s">
        <v>423</v>
      </c>
      <c r="J333">
        <v>4155</v>
      </c>
    </row>
    <row r="334" spans="9:10" x14ac:dyDescent="0.35">
      <c r="I334" t="s">
        <v>424</v>
      </c>
      <c r="J334">
        <v>2158</v>
      </c>
    </row>
    <row r="335" spans="9:10" x14ac:dyDescent="0.35">
      <c r="I335" t="s">
        <v>425</v>
      </c>
      <c r="J335">
        <v>6160</v>
      </c>
    </row>
    <row r="336" spans="9:10" x14ac:dyDescent="0.35">
      <c r="I336" t="s">
        <v>426</v>
      </c>
      <c r="J336">
        <v>6161</v>
      </c>
    </row>
    <row r="337" spans="9:10" x14ac:dyDescent="0.35">
      <c r="I337" t="s">
        <v>427</v>
      </c>
      <c r="J337">
        <v>1152</v>
      </c>
    </row>
    <row r="338" spans="9:10" x14ac:dyDescent="0.35">
      <c r="I338" t="s">
        <v>428</v>
      </c>
      <c r="J338">
        <v>1153</v>
      </c>
    </row>
    <row r="339" spans="9:10" x14ac:dyDescent="0.35">
      <c r="I339" t="s">
        <v>429</v>
      </c>
      <c r="J339">
        <v>3166</v>
      </c>
    </row>
    <row r="340" spans="9:10" x14ac:dyDescent="0.35">
      <c r="I340" t="s">
        <v>430</v>
      </c>
      <c r="J340">
        <v>4156</v>
      </c>
    </row>
    <row r="341" spans="9:10" x14ac:dyDescent="0.35">
      <c r="I341" t="s">
        <v>431</v>
      </c>
      <c r="J341">
        <v>4157</v>
      </c>
    </row>
    <row r="342" spans="9:10" x14ac:dyDescent="0.35">
      <c r="I342" t="s">
        <v>432</v>
      </c>
      <c r="J342">
        <v>4158</v>
      </c>
    </row>
    <row r="343" spans="9:10" x14ac:dyDescent="0.35">
      <c r="I343" t="s">
        <v>433</v>
      </c>
      <c r="J343">
        <v>3167</v>
      </c>
    </row>
    <row r="344" spans="9:10" x14ac:dyDescent="0.35">
      <c r="I344" t="s">
        <v>434</v>
      </c>
      <c r="J344">
        <v>5173</v>
      </c>
    </row>
    <row r="345" spans="9:10" x14ac:dyDescent="0.35">
      <c r="I345" t="s">
        <v>435</v>
      </c>
      <c r="J345">
        <v>5174</v>
      </c>
    </row>
    <row r="346" spans="9:10" x14ac:dyDescent="0.35">
      <c r="I346" t="s">
        <v>436</v>
      </c>
      <c r="J346">
        <v>3168</v>
      </c>
    </row>
    <row r="347" spans="9:10" x14ac:dyDescent="0.35">
      <c r="I347" t="s">
        <v>437</v>
      </c>
      <c r="J347">
        <v>1154</v>
      </c>
    </row>
    <row r="348" spans="9:10" x14ac:dyDescent="0.35">
      <c r="I348" t="s">
        <v>438</v>
      </c>
      <c r="J348">
        <v>6162</v>
      </c>
    </row>
    <row r="349" spans="9:10" x14ac:dyDescent="0.35">
      <c r="I349" t="s">
        <v>439</v>
      </c>
      <c r="J349">
        <v>3169</v>
      </c>
    </row>
    <row r="350" spans="9:10" x14ac:dyDescent="0.35">
      <c r="I350" t="s">
        <v>440</v>
      </c>
      <c r="J350">
        <v>4159</v>
      </c>
    </row>
    <row r="351" spans="9:10" x14ac:dyDescent="0.35">
      <c r="I351" t="s">
        <v>441</v>
      </c>
      <c r="J351">
        <v>2159</v>
      </c>
    </row>
    <row r="352" spans="9:10" x14ac:dyDescent="0.35">
      <c r="I352" t="s">
        <v>442</v>
      </c>
      <c r="J352">
        <v>4160</v>
      </c>
    </row>
    <row r="353" spans="9:10" x14ac:dyDescent="0.35">
      <c r="I353" t="s">
        <v>443</v>
      </c>
      <c r="J353">
        <v>4161</v>
      </c>
    </row>
    <row r="354" spans="9:10" x14ac:dyDescent="0.35">
      <c r="I354" t="s">
        <v>444</v>
      </c>
      <c r="J354">
        <v>4162</v>
      </c>
    </row>
    <row r="355" spans="9:10" x14ac:dyDescent="0.35">
      <c r="I355" t="s">
        <v>445</v>
      </c>
      <c r="J355">
        <v>4163</v>
      </c>
    </row>
    <row r="356" spans="9:10" x14ac:dyDescent="0.35">
      <c r="I356" t="s">
        <v>446</v>
      </c>
      <c r="J356">
        <v>2161</v>
      </c>
    </row>
    <row r="357" spans="9:10" x14ac:dyDescent="0.35">
      <c r="I357" t="s">
        <v>447</v>
      </c>
      <c r="J357">
        <v>4164</v>
      </c>
    </row>
    <row r="358" spans="9:10" x14ac:dyDescent="0.35">
      <c r="I358" t="s">
        <v>448</v>
      </c>
      <c r="J358">
        <v>4165</v>
      </c>
    </row>
    <row r="359" spans="9:10" x14ac:dyDescent="0.35">
      <c r="I359" t="s">
        <v>449</v>
      </c>
      <c r="J359">
        <v>5176</v>
      </c>
    </row>
    <row r="360" spans="9:10" x14ac:dyDescent="0.35">
      <c r="I360" t="s">
        <v>450</v>
      </c>
      <c r="J360">
        <v>6163</v>
      </c>
    </row>
    <row r="361" spans="9:10" x14ac:dyDescent="0.35">
      <c r="I361" t="s">
        <v>451</v>
      </c>
      <c r="J361">
        <v>3170</v>
      </c>
    </row>
    <row r="362" spans="9:10" x14ac:dyDescent="0.35">
      <c r="I362" t="s">
        <v>452</v>
      </c>
      <c r="J362">
        <v>5177</v>
      </c>
    </row>
    <row r="363" spans="9:10" x14ac:dyDescent="0.35">
      <c r="I363" t="s">
        <v>453</v>
      </c>
      <c r="J363">
        <v>5178</v>
      </c>
    </row>
    <row r="364" spans="9:10" x14ac:dyDescent="0.35">
      <c r="I364" t="s">
        <v>454</v>
      </c>
      <c r="J364">
        <v>6164</v>
      </c>
    </row>
    <row r="365" spans="9:10" x14ac:dyDescent="0.35">
      <c r="I365" t="s">
        <v>455</v>
      </c>
      <c r="J365">
        <v>1155</v>
      </c>
    </row>
    <row r="366" spans="9:10" x14ac:dyDescent="0.35">
      <c r="I366" t="s">
        <v>456</v>
      </c>
      <c r="J366">
        <v>1156</v>
      </c>
    </row>
    <row r="367" spans="9:10" x14ac:dyDescent="0.35">
      <c r="I367" t="s">
        <v>457</v>
      </c>
      <c r="J367">
        <v>6165</v>
      </c>
    </row>
    <row r="368" spans="9:10" x14ac:dyDescent="0.35">
      <c r="I368" t="s">
        <v>458</v>
      </c>
      <c r="J368">
        <v>1157</v>
      </c>
    </row>
    <row r="369" spans="9:10" x14ac:dyDescent="0.35">
      <c r="I369" t="s">
        <v>459</v>
      </c>
      <c r="J369">
        <v>1158</v>
      </c>
    </row>
    <row r="370" spans="9:10" x14ac:dyDescent="0.35">
      <c r="I370" t="s">
        <v>460</v>
      </c>
      <c r="J370">
        <v>1159</v>
      </c>
    </row>
    <row r="371" spans="9:10" x14ac:dyDescent="0.35">
      <c r="I371" t="s">
        <v>461</v>
      </c>
      <c r="J371">
        <v>4166</v>
      </c>
    </row>
    <row r="372" spans="9:10" x14ac:dyDescent="0.35">
      <c r="I372" t="s">
        <v>462</v>
      </c>
      <c r="J372">
        <v>6166</v>
      </c>
    </row>
    <row r="373" spans="9:10" x14ac:dyDescent="0.35">
      <c r="I373" t="s">
        <v>463</v>
      </c>
      <c r="J373">
        <v>1160</v>
      </c>
    </row>
    <row r="374" spans="9:10" x14ac:dyDescent="0.35">
      <c r="I374" t="s">
        <v>464</v>
      </c>
      <c r="J374">
        <v>2162</v>
      </c>
    </row>
    <row r="375" spans="9:10" x14ac:dyDescent="0.35">
      <c r="I375" t="s">
        <v>465</v>
      </c>
      <c r="J375">
        <v>2163</v>
      </c>
    </row>
    <row r="376" spans="9:10" x14ac:dyDescent="0.35">
      <c r="I376" t="s">
        <v>466</v>
      </c>
      <c r="J376">
        <v>4167</v>
      </c>
    </row>
    <row r="377" spans="9:10" x14ac:dyDescent="0.35">
      <c r="I377" t="s">
        <v>467</v>
      </c>
      <c r="J377">
        <v>2164</v>
      </c>
    </row>
    <row r="378" spans="9:10" x14ac:dyDescent="0.35">
      <c r="I378" t="s">
        <v>468</v>
      </c>
      <c r="J378">
        <v>4168</v>
      </c>
    </row>
    <row r="379" spans="9:10" x14ac:dyDescent="0.35">
      <c r="I379" t="s">
        <v>469</v>
      </c>
      <c r="J379">
        <v>1161</v>
      </c>
    </row>
    <row r="380" spans="9:10" x14ac:dyDescent="0.35">
      <c r="I380" t="s">
        <v>470</v>
      </c>
      <c r="J380">
        <v>1162</v>
      </c>
    </row>
    <row r="381" spans="9:10" x14ac:dyDescent="0.35">
      <c r="I381" t="s">
        <v>471</v>
      </c>
      <c r="J381">
        <v>4169</v>
      </c>
    </row>
    <row r="382" spans="9:10" x14ac:dyDescent="0.35">
      <c r="I382" t="s">
        <v>472</v>
      </c>
      <c r="J382">
        <v>5180</v>
      </c>
    </row>
    <row r="383" spans="9:10" x14ac:dyDescent="0.35">
      <c r="I383" t="s">
        <v>473</v>
      </c>
      <c r="J383">
        <v>5181</v>
      </c>
    </row>
    <row r="384" spans="9:10" x14ac:dyDescent="0.35">
      <c r="I384" t="s">
        <v>474</v>
      </c>
      <c r="J384">
        <v>4170</v>
      </c>
    </row>
    <row r="385" spans="9:10" x14ac:dyDescent="0.35">
      <c r="I385" t="s">
        <v>475</v>
      </c>
      <c r="J385">
        <v>5182</v>
      </c>
    </row>
    <row r="386" spans="9:10" x14ac:dyDescent="0.35">
      <c r="I386" t="s">
        <v>476</v>
      </c>
      <c r="J386">
        <v>1163</v>
      </c>
    </row>
    <row r="387" spans="9:10" x14ac:dyDescent="0.35">
      <c r="I387" t="s">
        <v>477</v>
      </c>
      <c r="J387">
        <v>3171</v>
      </c>
    </row>
    <row r="388" spans="9:10" x14ac:dyDescent="0.35">
      <c r="I388" t="s">
        <v>478</v>
      </c>
      <c r="J388">
        <v>2165</v>
      </c>
    </row>
    <row r="389" spans="9:10" x14ac:dyDescent="0.35">
      <c r="I389" t="s">
        <v>479</v>
      </c>
      <c r="J389">
        <v>6167</v>
      </c>
    </row>
    <row r="390" spans="9:10" x14ac:dyDescent="0.35">
      <c r="I390" t="s">
        <v>480</v>
      </c>
      <c r="J390">
        <v>6168</v>
      </c>
    </row>
    <row r="391" spans="9:10" x14ac:dyDescent="0.35">
      <c r="I391" t="s">
        <v>481</v>
      </c>
      <c r="J391">
        <v>4171</v>
      </c>
    </row>
    <row r="392" spans="9:10" x14ac:dyDescent="0.35">
      <c r="I392" t="s">
        <v>482</v>
      </c>
      <c r="J392">
        <v>5183</v>
      </c>
    </row>
    <row r="393" spans="9:10" x14ac:dyDescent="0.35">
      <c r="I393" t="s">
        <v>483</v>
      </c>
      <c r="J393">
        <v>2166</v>
      </c>
    </row>
    <row r="394" spans="9:10" x14ac:dyDescent="0.35">
      <c r="I394" t="s">
        <v>484</v>
      </c>
      <c r="J394">
        <v>5184</v>
      </c>
    </row>
    <row r="395" spans="9:10" x14ac:dyDescent="0.35">
      <c r="I395" t="s">
        <v>485</v>
      </c>
      <c r="J395">
        <v>2167</v>
      </c>
    </row>
    <row r="396" spans="9:10" x14ac:dyDescent="0.35">
      <c r="I396" t="s">
        <v>486</v>
      </c>
      <c r="J396">
        <v>4172</v>
      </c>
    </row>
    <row r="397" spans="9:10" x14ac:dyDescent="0.35">
      <c r="I397" t="s">
        <v>487</v>
      </c>
      <c r="J397">
        <v>6169</v>
      </c>
    </row>
    <row r="398" spans="9:10" x14ac:dyDescent="0.35">
      <c r="I398" t="s">
        <v>488</v>
      </c>
      <c r="J398">
        <v>3172</v>
      </c>
    </row>
    <row r="399" spans="9:10" x14ac:dyDescent="0.35">
      <c r="I399" t="s">
        <v>489</v>
      </c>
      <c r="J399">
        <v>6170</v>
      </c>
    </row>
    <row r="400" spans="9:10" x14ac:dyDescent="0.35">
      <c r="I400" t="s">
        <v>490</v>
      </c>
      <c r="J400">
        <v>3173</v>
      </c>
    </row>
    <row r="401" spans="9:10" x14ac:dyDescent="0.35">
      <c r="I401" t="s">
        <v>491</v>
      </c>
      <c r="J401">
        <v>6171</v>
      </c>
    </row>
    <row r="402" spans="9:10" x14ac:dyDescent="0.35">
      <c r="I402" t="s">
        <v>492</v>
      </c>
      <c r="J402">
        <v>4173</v>
      </c>
    </row>
    <row r="403" spans="9:10" x14ac:dyDescent="0.35">
      <c r="I403" t="s">
        <v>493</v>
      </c>
      <c r="J403">
        <v>6172</v>
      </c>
    </row>
    <row r="404" spans="9:10" x14ac:dyDescent="0.35">
      <c r="I404" t="s">
        <v>494</v>
      </c>
      <c r="J404">
        <v>2169</v>
      </c>
    </row>
    <row r="405" spans="9:10" x14ac:dyDescent="0.35">
      <c r="I405" t="s">
        <v>495</v>
      </c>
      <c r="J405">
        <v>3174</v>
      </c>
    </row>
    <row r="406" spans="9:10" x14ac:dyDescent="0.35">
      <c r="I406" t="s">
        <v>496</v>
      </c>
      <c r="J406">
        <v>1164</v>
      </c>
    </row>
    <row r="407" spans="9:10" x14ac:dyDescent="0.35">
      <c r="I407" t="s">
        <v>497</v>
      </c>
      <c r="J407">
        <v>3175</v>
      </c>
    </row>
    <row r="408" spans="9:10" x14ac:dyDescent="0.35">
      <c r="I408" t="s">
        <v>498</v>
      </c>
      <c r="J408">
        <v>1165</v>
      </c>
    </row>
    <row r="409" spans="9:10" x14ac:dyDescent="0.35">
      <c r="I409" t="s">
        <v>499</v>
      </c>
      <c r="J409">
        <v>1166</v>
      </c>
    </row>
    <row r="410" spans="9:10" x14ac:dyDescent="0.35">
      <c r="I410" t="s">
        <v>500</v>
      </c>
      <c r="J410">
        <v>2170</v>
      </c>
    </row>
    <row r="411" spans="9:10" x14ac:dyDescent="0.35">
      <c r="I411" t="s">
        <v>501</v>
      </c>
      <c r="J411">
        <v>2171</v>
      </c>
    </row>
    <row r="412" spans="9:10" x14ac:dyDescent="0.35">
      <c r="I412" t="s">
        <v>502</v>
      </c>
      <c r="J412">
        <v>2172</v>
      </c>
    </row>
    <row r="413" spans="9:10" x14ac:dyDescent="0.35">
      <c r="I413" t="s">
        <v>503</v>
      </c>
      <c r="J413">
        <v>1167</v>
      </c>
    </row>
    <row r="414" spans="9:10" x14ac:dyDescent="0.35">
      <c r="I414" t="s">
        <v>504</v>
      </c>
      <c r="J414">
        <v>1168</v>
      </c>
    </row>
    <row r="415" spans="9:10" x14ac:dyDescent="0.35">
      <c r="I415" t="s">
        <v>505</v>
      </c>
      <c r="J415">
        <v>1169</v>
      </c>
    </row>
    <row r="416" spans="9:10" x14ac:dyDescent="0.35">
      <c r="I416" t="s">
        <v>506</v>
      </c>
      <c r="J416">
        <v>1170</v>
      </c>
    </row>
    <row r="417" spans="9:10" x14ac:dyDescent="0.35">
      <c r="I417" t="s">
        <v>507</v>
      </c>
      <c r="J417">
        <v>2174</v>
      </c>
    </row>
    <row r="418" spans="9:10" x14ac:dyDescent="0.35">
      <c r="I418" t="s">
        <v>508</v>
      </c>
      <c r="J418">
        <v>2175</v>
      </c>
    </row>
    <row r="419" spans="9:10" x14ac:dyDescent="0.35">
      <c r="I419" t="s">
        <v>509</v>
      </c>
      <c r="J419">
        <v>5185</v>
      </c>
    </row>
    <row r="420" spans="9:10" x14ac:dyDescent="0.35">
      <c r="I420" t="s">
        <v>510</v>
      </c>
      <c r="J420">
        <v>1171</v>
      </c>
    </row>
    <row r="421" spans="9:10" x14ac:dyDescent="0.35">
      <c r="I421" t="s">
        <v>511</v>
      </c>
      <c r="J421">
        <v>2176</v>
      </c>
    </row>
    <row r="422" spans="9:10" x14ac:dyDescent="0.35">
      <c r="I422" t="s">
        <v>512</v>
      </c>
      <c r="J422">
        <v>1172</v>
      </c>
    </row>
    <row r="423" spans="9:10" x14ac:dyDescent="0.35">
      <c r="I423" t="s">
        <v>513</v>
      </c>
      <c r="J423">
        <v>2177</v>
      </c>
    </row>
    <row r="424" spans="9:10" x14ac:dyDescent="0.35">
      <c r="I424" t="s">
        <v>514</v>
      </c>
      <c r="J424">
        <v>3176</v>
      </c>
    </row>
    <row r="425" spans="9:10" x14ac:dyDescent="0.35">
      <c r="I425" t="s">
        <v>515</v>
      </c>
      <c r="J425">
        <v>2178</v>
      </c>
    </row>
    <row r="426" spans="9:10" x14ac:dyDescent="0.35">
      <c r="I426" t="s">
        <v>516</v>
      </c>
      <c r="J426">
        <v>2179</v>
      </c>
    </row>
    <row r="427" spans="9:10" x14ac:dyDescent="0.35">
      <c r="I427" t="s">
        <v>517</v>
      </c>
      <c r="J427">
        <v>2180</v>
      </c>
    </row>
    <row r="428" spans="9:10" x14ac:dyDescent="0.35">
      <c r="I428" t="s">
        <v>518</v>
      </c>
      <c r="J428">
        <v>1173</v>
      </c>
    </row>
    <row r="429" spans="9:10" x14ac:dyDescent="0.35">
      <c r="I429" t="s">
        <v>519</v>
      </c>
      <c r="J429">
        <v>1174</v>
      </c>
    </row>
    <row r="430" spans="9:10" x14ac:dyDescent="0.35">
      <c r="I430" t="s">
        <v>520</v>
      </c>
      <c r="J430">
        <v>5186</v>
      </c>
    </row>
    <row r="431" spans="9:10" x14ac:dyDescent="0.35">
      <c r="I431" t="s">
        <v>521</v>
      </c>
      <c r="J431">
        <v>3177</v>
      </c>
    </row>
    <row r="432" spans="9:10" x14ac:dyDescent="0.35">
      <c r="I432" t="s">
        <v>522</v>
      </c>
      <c r="J432">
        <v>4182</v>
      </c>
    </row>
    <row r="433" spans="9:10" x14ac:dyDescent="0.35">
      <c r="I433" t="s">
        <v>523</v>
      </c>
      <c r="J433">
        <v>6173</v>
      </c>
    </row>
    <row r="434" spans="9:10" x14ac:dyDescent="0.35">
      <c r="I434" t="s">
        <v>524</v>
      </c>
      <c r="J434">
        <v>1175</v>
      </c>
    </row>
    <row r="435" spans="9:10" x14ac:dyDescent="0.35">
      <c r="I435" t="s">
        <v>525</v>
      </c>
      <c r="J435">
        <v>2181</v>
      </c>
    </row>
    <row r="436" spans="9:10" x14ac:dyDescent="0.35">
      <c r="I436" t="s">
        <v>526</v>
      </c>
      <c r="J436">
        <v>4174</v>
      </c>
    </row>
    <row r="437" spans="9:10" x14ac:dyDescent="0.35">
      <c r="I437" t="s">
        <v>527</v>
      </c>
      <c r="J437">
        <v>4175</v>
      </c>
    </row>
    <row r="438" spans="9:10" x14ac:dyDescent="0.35">
      <c r="I438" t="s">
        <v>528</v>
      </c>
      <c r="J438">
        <v>1176</v>
      </c>
    </row>
    <row r="439" spans="9:10" x14ac:dyDescent="0.35">
      <c r="I439" t="s">
        <v>529</v>
      </c>
      <c r="J439">
        <v>1177</v>
      </c>
    </row>
    <row r="440" spans="9:10" x14ac:dyDescent="0.35">
      <c r="I440" t="s">
        <v>530</v>
      </c>
      <c r="J440">
        <v>4176</v>
      </c>
    </row>
    <row r="441" spans="9:10" x14ac:dyDescent="0.35">
      <c r="I441" t="s">
        <v>531</v>
      </c>
      <c r="J441">
        <v>6174</v>
      </c>
    </row>
    <row r="442" spans="9:10" x14ac:dyDescent="0.35">
      <c r="I442" t="s">
        <v>532</v>
      </c>
      <c r="J442">
        <v>1178</v>
      </c>
    </row>
    <row r="443" spans="9:10" x14ac:dyDescent="0.35">
      <c r="I443" t="s">
        <v>533</v>
      </c>
      <c r="J443">
        <v>4177</v>
      </c>
    </row>
    <row r="444" spans="9:10" x14ac:dyDescent="0.35">
      <c r="I444" t="s">
        <v>534</v>
      </c>
      <c r="J444">
        <v>2183</v>
      </c>
    </row>
    <row r="445" spans="9:10" x14ac:dyDescent="0.35">
      <c r="I445" t="s">
        <v>535</v>
      </c>
      <c r="J445">
        <v>2184</v>
      </c>
    </row>
    <row r="446" spans="9:10" x14ac:dyDescent="0.35">
      <c r="I446" t="s">
        <v>536</v>
      </c>
      <c r="J446">
        <v>4178</v>
      </c>
    </row>
    <row r="447" spans="9:10" x14ac:dyDescent="0.35">
      <c r="I447" t="s">
        <v>537</v>
      </c>
      <c r="J447">
        <v>3178</v>
      </c>
    </row>
    <row r="448" spans="9:10" x14ac:dyDescent="0.35">
      <c r="I448" t="s">
        <v>538</v>
      </c>
      <c r="J448">
        <v>6175</v>
      </c>
    </row>
    <row r="449" spans="9:10" x14ac:dyDescent="0.35">
      <c r="I449" t="s">
        <v>539</v>
      </c>
      <c r="J449">
        <v>3179</v>
      </c>
    </row>
    <row r="450" spans="9:10" x14ac:dyDescent="0.35">
      <c r="I450" t="s">
        <v>540</v>
      </c>
      <c r="J450">
        <v>3180</v>
      </c>
    </row>
    <row r="451" spans="9:10" x14ac:dyDescent="0.35">
      <c r="I451" t="s">
        <v>541</v>
      </c>
      <c r="J451">
        <v>6176</v>
      </c>
    </row>
    <row r="452" spans="9:10" x14ac:dyDescent="0.35">
      <c r="I452" t="s">
        <v>542</v>
      </c>
      <c r="J452">
        <v>4180</v>
      </c>
    </row>
    <row r="453" spans="9:10" x14ac:dyDescent="0.35">
      <c r="I453" t="s">
        <v>543</v>
      </c>
      <c r="J453">
        <v>6177</v>
      </c>
    </row>
    <row r="454" spans="9:10" x14ac:dyDescent="0.35">
      <c r="I454" t="s">
        <v>544</v>
      </c>
      <c r="J454">
        <v>3181</v>
      </c>
    </row>
    <row r="455" spans="9:10" x14ac:dyDescent="0.35">
      <c r="I455" t="s">
        <v>545</v>
      </c>
      <c r="J455">
        <v>3182</v>
      </c>
    </row>
    <row r="456" spans="9:10" x14ac:dyDescent="0.35">
      <c r="I456" t="s">
        <v>546</v>
      </c>
      <c r="J456">
        <v>5187</v>
      </c>
    </row>
    <row r="457" spans="9:10" x14ac:dyDescent="0.35">
      <c r="I457" t="s">
        <v>547</v>
      </c>
      <c r="J457">
        <v>1179</v>
      </c>
    </row>
    <row r="458" spans="9:10" x14ac:dyDescent="0.35">
      <c r="I458" t="s">
        <v>548</v>
      </c>
      <c r="J458">
        <v>5188</v>
      </c>
    </row>
    <row r="459" spans="9:10" x14ac:dyDescent="0.35">
      <c r="I459" t="s">
        <v>549</v>
      </c>
      <c r="J459">
        <v>5189</v>
      </c>
    </row>
    <row r="460" spans="9:10" x14ac:dyDescent="0.35">
      <c r="I460" t="s">
        <v>550</v>
      </c>
      <c r="J460">
        <v>5190</v>
      </c>
    </row>
    <row r="461" spans="9:10" x14ac:dyDescent="0.35">
      <c r="I461" t="s">
        <v>551</v>
      </c>
      <c r="J461">
        <v>2185</v>
      </c>
    </row>
    <row r="462" spans="9:10" x14ac:dyDescent="0.35">
      <c r="I462" t="s">
        <v>552</v>
      </c>
      <c r="J462">
        <v>6178</v>
      </c>
    </row>
    <row r="463" spans="9:10" x14ac:dyDescent="0.35">
      <c r="I463" t="s">
        <v>553</v>
      </c>
      <c r="J463">
        <v>1180</v>
      </c>
    </row>
    <row r="464" spans="9:10" x14ac:dyDescent="0.35">
      <c r="I464" t="s">
        <v>554</v>
      </c>
      <c r="J464">
        <v>3183</v>
      </c>
    </row>
    <row r="465" spans="9:10" x14ac:dyDescent="0.35">
      <c r="I465" t="s">
        <v>555</v>
      </c>
      <c r="J465">
        <v>4181</v>
      </c>
    </row>
    <row r="466" spans="9:10" x14ac:dyDescent="0.35">
      <c r="I466" t="s">
        <v>556</v>
      </c>
      <c r="J466">
        <v>5191</v>
      </c>
    </row>
    <row r="467" spans="9:10" x14ac:dyDescent="0.35">
      <c r="I467" t="s">
        <v>557</v>
      </c>
      <c r="J467">
        <v>6179</v>
      </c>
    </row>
    <row r="468" spans="9:10" x14ac:dyDescent="0.35">
      <c r="I468" t="s">
        <v>558</v>
      </c>
      <c r="J468">
        <v>2186</v>
      </c>
    </row>
    <row r="469" spans="9:10" x14ac:dyDescent="0.35">
      <c r="I469" t="s">
        <v>559</v>
      </c>
      <c r="J469">
        <v>5192</v>
      </c>
    </row>
    <row r="470" spans="9:10" x14ac:dyDescent="0.35">
      <c r="I470" t="s">
        <v>560</v>
      </c>
      <c r="J470">
        <v>6181</v>
      </c>
    </row>
  </sheetData>
  <sheetProtection algorithmName="SHA-512" hashValue="3DrZGnk0+Ke+l+YHlsuyrnaIrBgVAYctW+SevnQEGND2BJBHKDeDF8KNbnYAK7uVPEBOvO9tygwVF2eNwCQPfQ==" saltValue="GnHW18m6j6V73rHKk06EK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3889c9b-45dd-4bca-a67c-9a4ff2b541e8" xsi:nil="true"/>
    <lcf76f155ced4ddcb4097134ff3c332f xmlns="842773a7-bc23-41ab-bb9a-8dabc060f93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729CA8F030A6F4D9952A9B86C281E60" ma:contentTypeVersion="12" ma:contentTypeDescription="Create a new document." ma:contentTypeScope="" ma:versionID="320e06579dd6b296721dc84deb550c2a">
  <xsd:schema xmlns:xsd="http://www.w3.org/2001/XMLSchema" xmlns:xs="http://www.w3.org/2001/XMLSchema" xmlns:p="http://schemas.microsoft.com/office/2006/metadata/properties" xmlns:ns2="842773a7-bc23-41ab-bb9a-8dabc060f938" xmlns:ns3="a3889c9b-45dd-4bca-a67c-9a4ff2b541e8" targetNamespace="http://schemas.microsoft.com/office/2006/metadata/properties" ma:root="true" ma:fieldsID="74211d9151acf37bfb314a6f999dd1f4" ns2:_="" ns3:_="">
    <xsd:import namespace="842773a7-bc23-41ab-bb9a-8dabc060f938"/>
    <xsd:import namespace="a3889c9b-45dd-4bca-a67c-9a4ff2b541e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2773a7-bc23-41ab-bb9a-8dabc060f9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df6c1a4-cbea-4bff-a8c5-79e21740ba28"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3889c9b-45dd-4bca-a67c-9a4ff2b541e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8b0d46c-62dc-4032-8a6f-718313b08cf5}" ma:internalName="TaxCatchAll" ma:showField="CatchAllData" ma:web="a3889c9b-45dd-4bca-a67c-9a4ff2b541e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A851809-1A15-4BEF-8BDE-707D014F2E6A}">
  <ds:schemaRefs>
    <ds:schemaRef ds:uri="http://schemas.microsoft.com/sharepoint/v3/contenttype/forms"/>
  </ds:schemaRefs>
</ds:datastoreItem>
</file>

<file path=customXml/itemProps2.xml><?xml version="1.0" encoding="utf-8"?>
<ds:datastoreItem xmlns:ds="http://schemas.openxmlformats.org/officeDocument/2006/customXml" ds:itemID="{BC7AD87D-C1E5-40F1-9073-E6D88BB194F8}">
  <ds:schemaRefs>
    <ds:schemaRef ds:uri="http://www.w3.org/XML/1998/namespace"/>
    <ds:schemaRef ds:uri="http://schemas.openxmlformats.org/package/2006/metadata/core-properties"/>
    <ds:schemaRef ds:uri="http://schemas.microsoft.com/office/2006/documentManagement/types"/>
    <ds:schemaRef ds:uri="http://schemas.microsoft.com/office/infopath/2007/PartnerControls"/>
    <ds:schemaRef ds:uri="http://purl.org/dc/terms/"/>
    <ds:schemaRef ds:uri="http://schemas.microsoft.com/office/2006/metadata/properties"/>
    <ds:schemaRef ds:uri="a3889c9b-45dd-4bca-a67c-9a4ff2b541e8"/>
    <ds:schemaRef ds:uri="842773a7-bc23-41ab-bb9a-8dabc060f938"/>
    <ds:schemaRef ds:uri="http://purl.org/dc/dcmitype/"/>
    <ds:schemaRef ds:uri="http://purl.org/dc/elements/1.1/"/>
  </ds:schemaRefs>
</ds:datastoreItem>
</file>

<file path=customXml/itemProps3.xml><?xml version="1.0" encoding="utf-8"?>
<ds:datastoreItem xmlns:ds="http://schemas.openxmlformats.org/officeDocument/2006/customXml" ds:itemID="{BF998695-69A7-40C1-A0A2-8CF4A3CE30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2773a7-bc23-41ab-bb9a-8dabc060f938"/>
    <ds:schemaRef ds:uri="a3889c9b-45dd-4bca-a67c-9a4ff2b541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table</vt:lpstr>
      <vt:lpstr>Comp Form</vt:lpstr>
      <vt:lpstr>Minimum Salary</vt:lpstr>
      <vt:lpstr>Staff Info</vt:lpstr>
      <vt:lpstr>'Minimum Salary'!Print_Area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Curran</dc:creator>
  <cp:lastModifiedBy>Adam Curran</cp:lastModifiedBy>
  <cp:lastPrinted>2025-09-24T14:41:11Z</cp:lastPrinted>
  <dcterms:created xsi:type="dcterms:W3CDTF">2024-06-12T16:27:58Z</dcterms:created>
  <dcterms:modified xsi:type="dcterms:W3CDTF">2025-09-29T15:30:26Z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0x0101006729CA8F030A6F4D9952A9B86C281E60</vt:lpwstr>
  </property>
  <property fmtid="{D5CDD505-2E9C-101B-9397-08002B2CF9AE}" pid="3" name="MediaServiceImageTags">
    <vt:lpwstr/>
  </property>
</Properties>
</file>